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Objects="placeholders" updateLinks="never" codeName="ThisWorkbook"/>
  <bookViews>
    <workbookView showSheetTabs="0" xWindow="-15" yWindow="-15" windowWidth="9570" windowHeight="11475" tabRatio="0" firstSheet="3" activeTab="9"/>
  </bookViews>
  <sheets>
    <sheet name="MainMenu" sheetId="6" r:id="rId1"/>
    <sheet name="Master Deails" sheetId="7" r:id="rId2"/>
    <sheet name="Earning- Salary" sheetId="17" r:id="rId3"/>
    <sheet name="Other than Salary Income" sheetId="15" r:id="rId4"/>
    <sheet name="Investment - Deduction" sheetId="43" r:id="rId5"/>
    <sheet name="Calculation (OLD)" sheetId="31" r:id="rId6"/>
    <sheet name="FORM 16_1 (OLD)" sheetId="32" r:id="rId7"/>
    <sheet name="FORM 16_2 (OLD)" sheetId="33" r:id="rId8"/>
    <sheet name="Calculation (NEW)" sheetId="47" r:id="rId9"/>
    <sheet name="FORM 16 (NEW)" sheetId="48" r:id="rId10"/>
    <sheet name="Form_Annexure A_B" sheetId="42" r:id="rId11"/>
  </sheets>
  <externalReferences>
    <externalReference r:id="rId12"/>
    <externalReference r:id="rId13"/>
    <externalReference r:id="rId14"/>
    <externalReference r:id="rId15"/>
    <externalReference r:id="rId16"/>
  </externalReferences>
  <definedNames>
    <definedName name="BACK">MainMenu!$A$20</definedName>
    <definedName name="BACK1">#REF!</definedName>
    <definedName name="BACK2">MainMenu!$A$22</definedName>
    <definedName name="Button3_Click">[1]!Button3_Click</definedName>
    <definedName name="cmb_HP.ifLetOut1">[2]HOUSE_PROPERTY!$F$61:$F$62</definedName>
    <definedName name="cmb_HP.StateCode1">[2]HOUSE_PROPERTY!$D$61:$D$96</definedName>
    <definedName name="cmb_SAL.StateCode1">'[2]PARTB - TI - TTI'!$A$141:$A$176</definedName>
    <definedName name="cmb_SI.SecCode">'[2]SPI - SI'!$D$46:$D$66</definedName>
    <definedName name="cmb_SI.SplRatePercent">'[2]SPI - SI'!$E$46:$E$51</definedName>
    <definedName name="cmb_TDS2.StateCode">[2]TDS!$G$62:$G$97</definedName>
    <definedName name="cyla.TotHPlossCurYr">#REF!</definedName>
    <definedName name="cyla.TotOthSrcLossNoRaceHorse">#REF!</definedName>
    <definedName name="DATA">#REF!</definedName>
    <definedName name="Ded_tax">'[3]Form 16'!#REF!</definedName>
    <definedName name="Deduction">'[3]Form 16'!#REF!</definedName>
    <definedName name="FORM_NO._16">#REF!</definedName>
    <definedName name="giri">[4]sc!#REF!</definedName>
    <definedName name="HARI">[4]sc!#REF!</definedName>
    <definedName name="hp.BFlossPrevYrUndSameHeadSetoff1">#REF!</definedName>
    <definedName name="hp.IncOfCurYrAfterSetOff2">#REF!</definedName>
    <definedName name="hp.IncOfCurYrUnderThatHead2">#REF!</definedName>
    <definedName name="hp.IncOfCurYrUndHeadFromCYLA1">#REF!</definedName>
    <definedName name="i_tax">'[3]Form 16'!#REF!</definedName>
    <definedName name="Income_calculation" localSheetId="8">'Calculation (NEW)'!$A$2</definedName>
    <definedName name="Income_calculation" localSheetId="5">'Calculation (OLD)'!$A$2</definedName>
    <definedName name="Income_calculation">#REF!</definedName>
    <definedName name="INDIVIDUAL">#REF!</definedName>
    <definedName name="LTCG.AmtDeemedCGSec54">#REF!</definedName>
    <definedName name="LTCG.AquisitCostNoIndex">#REF!</definedName>
    <definedName name="LTCG.BalanceCG">#REF!</definedName>
    <definedName name="LTCG.BalLTCG112">#REF!</definedName>
    <definedName name="ltcg.BFlossPrevYrUndSameHeadSetoff4">'[2]CYLA-BFLA'!$E$20</definedName>
    <definedName name="LTCG.ExemptionOrDednUs54s">#REF!</definedName>
    <definedName name="LTCG.ExpOnTrans">#REF!</definedName>
    <definedName name="LTCG.FullConsideration">#REF!</definedName>
    <definedName name="LTCG.ImproveCostNoIndex">#REF!</definedName>
    <definedName name="ltcg.IncOfCurYrAfterSetOff2">#REF!</definedName>
    <definedName name="ltcg.IncOfCurYrUnderThatHead2">#REF!</definedName>
    <definedName name="ltcg.IncOfCurYrUndHeadFromCYLA4">#REF!</definedName>
    <definedName name="LTCG.TotalDedn">#REF!</definedName>
    <definedName name="LTCG.TotalLTCG">#REF!</definedName>
    <definedName name="LTCGAssNo.AquisitCostIndexed">#REF!</definedName>
    <definedName name="LTCGAssNo.BalanceCG">#REF!</definedName>
    <definedName name="LTCGAssNo.BalLTCGNo112">#REF!</definedName>
    <definedName name="LTCGAssNo.ExemptionOrDednUs54s">#REF!</definedName>
    <definedName name="LTCGAssNo.ExpOnTrans">#REF!</definedName>
    <definedName name="LTCGAssNo.FullConsideration">#REF!</definedName>
    <definedName name="LTCGAssNo.ImproveCostIndexed">#REF!</definedName>
    <definedName name="LTCGAssNo.NRIAssetSec48">#REF!</definedName>
    <definedName name="LTCGAssNo.TotalDedn">#REF!</definedName>
    <definedName name="M_S_ANIL_BABU___CO.">[4]sc!#REF!</definedName>
    <definedName name="os.BalanceNoRaceHorse">#REF!</definedName>
    <definedName name="os.BalanceOwnRaceHorse">'[2]CG-OS'!$J$67</definedName>
    <definedName name="os.DeductSec57">#REF!</definedName>
    <definedName name="os.Depreciation">#REF!</definedName>
    <definedName name="os.Expenses">#REF!</definedName>
    <definedName name="os.Receipts">#REF!</definedName>
    <definedName name="os.TotalOSGross">#REF!</definedName>
    <definedName name="os.TotDeductions">#REF!</definedName>
    <definedName name="os.TotOthSrcNoRaceHorse">#REF!</definedName>
    <definedName name="os.WinLottRacePuzz">#REF!</definedName>
    <definedName name="othSecinclnlhrs.IncOfCurYrAfterSetOff3">#REF!</definedName>
    <definedName name="othSecinclnlhrs.IncOfCurYrUnderThatHead3">#REF!</definedName>
    <definedName name="othsrcincl.BFlossPrevYrUndSameHeadSetoff5">'[2]CYLA-BFLA'!$E$21</definedName>
    <definedName name="othsrcincl.IncOfCurYrUndHeadFromCYLA5">#REF!</definedName>
    <definedName name="_xlnm.Print_Area" localSheetId="8">'Calculation (NEW)'!$A$3:$Y$67</definedName>
    <definedName name="_xlnm.Print_Area" localSheetId="5">'Calculation (OLD)'!$B$3:$X$125</definedName>
    <definedName name="_xlnm.Print_Area" localSheetId="2">'Earning- Salary'!$A$3:$N$56</definedName>
    <definedName name="_xlnm.Print_Area" localSheetId="9">'FORM 16 (NEW)'!$B$5:$AO$93</definedName>
    <definedName name="_xlnm.Print_Area" localSheetId="6">'FORM 16_1 (OLD)'!$B$4:$AO$101</definedName>
    <definedName name="_xlnm.Print_Area" localSheetId="7">'FORM 16_2 (OLD)'!$B$4:$AP$87</definedName>
    <definedName name="_xlnm.Print_Area" localSheetId="10">'Form_Annexure A_B'!$A$2:$V$49</definedName>
    <definedName name="_xlnm.Print_Area" localSheetId="4">'Investment - Deduction'!$B$3:$Y$124</definedName>
    <definedName name="_xlnm.Print_Area" localSheetId="1">'Master Deails'!#REF!</definedName>
    <definedName name="_xlnm.Print_Area" localSheetId="3">'Other than Salary Income'!$B$6:$X$135</definedName>
    <definedName name="Rebate">'[3]Form 16'!#REF!</definedName>
    <definedName name="REBATE_VIII">'[3]Form 16'!#REF!</definedName>
    <definedName name="salary.IncOfCurYrAfterSetOff1">#REF!</definedName>
    <definedName name="salary.IncOfCurYrUnderThatHead1">#REF!</definedName>
    <definedName name="salary.IncOfCurYrUndHeadFromCYLA">#REF!</definedName>
    <definedName name="sheet1.newstcode">'[2]PART A - GENERAL'!$BH$1:$BH$36</definedName>
    <definedName name="sheet12.AdjustedPLFrmSpecuBus">#REF!</definedName>
    <definedName name="sheet16.BalBusLossAftSetoff">'[2]CYLA-BFLA'!#REF!</definedName>
    <definedName name="sheet16.BalHPlossCurYrAftSetoff">'[2]CYLA-BFLA'!$E$12</definedName>
    <definedName name="sheet16.TotBFLossSetoff">'[2]CYLA-BFLA'!$E$22</definedName>
    <definedName name="sheet16.TotHPlossCurYrSetoff">'[2]CYLA-BFLA'!$E$11</definedName>
    <definedName name="sheet16.TotOthSrcLossNoRaceHorseSetoff">'[2]CYLA-BFLA'!$F$11</definedName>
    <definedName name="Sheet8b.BalanceAfterSetoffLosses">#REF!</definedName>
    <definedName name="Sheet8b.BroughtFwdLossesSetoff">#REF!</definedName>
    <definedName name="Sheet8b.CurrentYearLoss">#REF!</definedName>
    <definedName name="Sheet8b.DeductionsUnderScheduleVIA">#REF!</definedName>
    <definedName name="Sheet8b.FromOwnRaceHorse">#REF!</definedName>
    <definedName name="Sheet8b.GrossTotalIncome">#REF!</definedName>
    <definedName name="Sheet8b.IncomeFromHP">#REF!</definedName>
    <definedName name="Sheet8b.LongTerm">#REF!</definedName>
    <definedName name="Sheet8b.OtherSrcThanOwnRaceHorse">#REF!</definedName>
    <definedName name="Sheet8b.ProfGainNoSpecBus">#REF!</definedName>
    <definedName name="Sheet8b.ProfGainSpecBus">#REF!</definedName>
    <definedName name="Sheet8b.Salaries">#REF!</definedName>
    <definedName name="Sheet8b.TotalCapGains">#REF!</definedName>
    <definedName name="Sheet8b.TotalShortTerm">#REF!</definedName>
    <definedName name="Sheet8b.TotalTI">#REF!</definedName>
    <definedName name="Sheet8b.TotIncFromOS">#REF!</definedName>
    <definedName name="sheet9.AccountType">'[2]PARTB - TI - TTI'!$M$62:$M$63</definedName>
    <definedName name="Sheet9.AggregateTaxInterestLiability">#REF!</definedName>
    <definedName name="Sheet9.BalTaxPayable">#REF!</definedName>
    <definedName name="Sheet9.EducationCess">#REF!</definedName>
    <definedName name="Sheet9.GrossTaxLiability">#REF!</definedName>
    <definedName name="Sheet9.NetTaxLiability">#REF!</definedName>
    <definedName name="sheet9.RebateOnAgriInc">#REF!</definedName>
    <definedName name="Sheet9.RebateUs88E">#REF!</definedName>
    <definedName name="Sheet9.SurchargeOnTaxPayable">#REF!</definedName>
    <definedName name="sheet9.TaxPayableOnTotInc">#REF!</definedName>
    <definedName name="Sheet9.TotalIntrstPay">#REF!</definedName>
    <definedName name="Sheet9.TotalTaxesPaid">#REF!</definedName>
    <definedName name="Sheet9.TotTaxRelief">#REF!</definedName>
    <definedName name="sheet9.Yesno">'[2]PARTB - TI - TTI'!$N$62:$N$63</definedName>
    <definedName name="SI.SplRateIncTax">#REF!</definedName>
    <definedName name="SPI.AmtIncluded">#REF!</definedName>
    <definedName name="STCG.AquisitCost">#REF!</definedName>
    <definedName name="STCG.BalanceCG">#REF!</definedName>
    <definedName name="stcg.BFlossPrevYrUndSameHeadSetoff3">'[2]CYLA-BFLA'!$E$19</definedName>
    <definedName name="STCG.ExemptionOrDednUs54s">#REF!</definedName>
    <definedName name="STCG.ExpOnTrans">#REF!</definedName>
    <definedName name="STCG.FullConsideration">#REF!</definedName>
    <definedName name="STCG.ImproveCost">#REF!</definedName>
    <definedName name="stcg.IncOfCurYrAfterSetOff1">#REF!</definedName>
    <definedName name="stcg.IncOfCurYrUnderThatHead1">#REF!</definedName>
    <definedName name="stcg.IncOfCurYrUndHeadFromCYLA3">#REF!</definedName>
    <definedName name="STCG.LossSec94of7Or94of8">#REF!</definedName>
    <definedName name="STCG.STCGSec111A">#REF!</definedName>
    <definedName name="STCG.TotalDedn">#REF!</definedName>
    <definedName name="STCG.TotalSTCG">#REF!</definedName>
    <definedName name="tax">'[3]Form 16'!#REF!</definedName>
    <definedName name="TF">[3]DETAILS!#REF!</definedName>
    <definedName name="Z_049E6C55_41BB_11D7_A093_A9EBCA13345A_.wvu.Cols" localSheetId="0" hidden="1">MainMenu!$K$1:$L$63478</definedName>
    <definedName name="Z_049E6C55_41BB_11D7_A093_A9EBCA13345A_.wvu.Rows" localSheetId="0" hidden="1">MainMenu!$2:$2,MainMenu!$20:$21,MainMenu!$22:$25</definedName>
  </definedNames>
  <calcPr calcId="124519"/>
  <customWorkbookViews>
    <customWorkbookView name="K Patel - Personal View" guid="{049E6C55-41BB-11D7-A093-A9EBCA13345A}" mergeInterval="0" personalView="1" maximized="1" windowWidth="796" windowHeight="431" tabRatio="0" activeSheetId="2"/>
  </customWorkbookViews>
</workbook>
</file>

<file path=xl/calcChain.xml><?xml version="1.0" encoding="utf-8"?>
<calcChain xmlns="http://schemas.openxmlformats.org/spreadsheetml/2006/main">
  <c r="AI63" i="33"/>
  <c r="E69" i="31"/>
  <c r="Q18"/>
  <c r="Q17"/>
  <c r="U120" i="43"/>
  <c r="M51" i="17" l="1"/>
  <c r="L51"/>
  <c r="K51"/>
  <c r="J51"/>
  <c r="I51"/>
  <c r="H51"/>
  <c r="G51"/>
  <c r="F51"/>
  <c r="E51"/>
  <c r="D51"/>
  <c r="C51"/>
  <c r="B51"/>
  <c r="D32"/>
  <c r="E32" s="1"/>
  <c r="F32" s="1"/>
  <c r="G32" s="1"/>
  <c r="H32" s="1"/>
  <c r="I32" s="1"/>
  <c r="J32" s="1"/>
  <c r="K32" s="1"/>
  <c r="L32" s="1"/>
  <c r="M32" s="1"/>
  <c r="D28"/>
  <c r="E28" s="1"/>
  <c r="F28" s="1"/>
  <c r="G28" s="1"/>
  <c r="H28" s="1"/>
  <c r="I28" s="1"/>
  <c r="J28" s="1"/>
  <c r="K28" s="1"/>
  <c r="L28" s="1"/>
  <c r="M28" s="1"/>
  <c r="E27"/>
  <c r="F27" s="1"/>
  <c r="G27" s="1"/>
  <c r="H27" s="1"/>
  <c r="I27" s="1"/>
  <c r="J27" s="1"/>
  <c r="K27" s="1"/>
  <c r="L27" s="1"/>
  <c r="M27" s="1"/>
  <c r="D27"/>
  <c r="C28"/>
  <c r="C29"/>
  <c r="D29" s="1"/>
  <c r="E29" s="1"/>
  <c r="F29" s="1"/>
  <c r="G29" s="1"/>
  <c r="H29" s="1"/>
  <c r="I29" s="1"/>
  <c r="J29" s="1"/>
  <c r="K29" s="1"/>
  <c r="L29" s="1"/>
  <c r="M29" s="1"/>
  <c r="C30"/>
  <c r="D30" s="1"/>
  <c r="E30" s="1"/>
  <c r="F30" s="1"/>
  <c r="G30" s="1"/>
  <c r="H30" s="1"/>
  <c r="I30" s="1"/>
  <c r="J30" s="1"/>
  <c r="K30" s="1"/>
  <c r="L30" s="1"/>
  <c r="M30" s="1"/>
  <c r="C31"/>
  <c r="D31" s="1"/>
  <c r="C32"/>
  <c r="C33"/>
  <c r="D33" s="1"/>
  <c r="E33" s="1"/>
  <c r="F33" s="1"/>
  <c r="G33" s="1"/>
  <c r="H33" s="1"/>
  <c r="I33" s="1"/>
  <c r="J33" s="1"/>
  <c r="K33" s="1"/>
  <c r="L33" s="1"/>
  <c r="M33" s="1"/>
  <c r="C34"/>
  <c r="D34" s="1"/>
  <c r="E34" s="1"/>
  <c r="F34" s="1"/>
  <c r="G34" s="1"/>
  <c r="H34" s="1"/>
  <c r="I34" s="1"/>
  <c r="J34" s="1"/>
  <c r="K34" s="1"/>
  <c r="L34" s="1"/>
  <c r="M34" s="1"/>
  <c r="C35"/>
  <c r="D35" s="1"/>
  <c r="E35" s="1"/>
  <c r="F35" s="1"/>
  <c r="G35" s="1"/>
  <c r="H35" s="1"/>
  <c r="I35" s="1"/>
  <c r="J35" s="1"/>
  <c r="K35" s="1"/>
  <c r="L35" s="1"/>
  <c r="M35" s="1"/>
  <c r="C36"/>
  <c r="C48" s="1"/>
  <c r="C37"/>
  <c r="D37" s="1"/>
  <c r="E37" s="1"/>
  <c r="F37" s="1"/>
  <c r="G37" s="1"/>
  <c r="H37" s="1"/>
  <c r="I37" s="1"/>
  <c r="J37" s="1"/>
  <c r="K37" s="1"/>
  <c r="L37" s="1"/>
  <c r="M37" s="1"/>
  <c r="C38"/>
  <c r="D38" s="1"/>
  <c r="E38" s="1"/>
  <c r="F38" s="1"/>
  <c r="G38" s="1"/>
  <c r="H38" s="1"/>
  <c r="I38" s="1"/>
  <c r="J38" s="1"/>
  <c r="K38" s="1"/>
  <c r="L38" s="1"/>
  <c r="M38" s="1"/>
  <c r="C39"/>
  <c r="D39" s="1"/>
  <c r="E39" s="1"/>
  <c r="F39" s="1"/>
  <c r="G39" s="1"/>
  <c r="H39" s="1"/>
  <c r="I39" s="1"/>
  <c r="J39" s="1"/>
  <c r="K39" s="1"/>
  <c r="L39" s="1"/>
  <c r="M39" s="1"/>
  <c r="C40"/>
  <c r="D40" s="1"/>
  <c r="E40" s="1"/>
  <c r="F40" s="1"/>
  <c r="G40" s="1"/>
  <c r="H40" s="1"/>
  <c r="I40" s="1"/>
  <c r="J40" s="1"/>
  <c r="K40" s="1"/>
  <c r="L40" s="1"/>
  <c r="M40" s="1"/>
  <c r="C41"/>
  <c r="D41" s="1"/>
  <c r="E41" s="1"/>
  <c r="F41" s="1"/>
  <c r="G41" s="1"/>
  <c r="H41" s="1"/>
  <c r="I41" s="1"/>
  <c r="J41" s="1"/>
  <c r="K41" s="1"/>
  <c r="L41" s="1"/>
  <c r="M41" s="1"/>
  <c r="C42"/>
  <c r="D42" s="1"/>
  <c r="C43"/>
  <c r="D43" s="1"/>
  <c r="E43" s="1"/>
  <c r="F43" s="1"/>
  <c r="G43" s="1"/>
  <c r="H43" s="1"/>
  <c r="I43" s="1"/>
  <c r="J43" s="1"/>
  <c r="K43" s="1"/>
  <c r="L43" s="1"/>
  <c r="M43" s="1"/>
  <c r="C44"/>
  <c r="D44" s="1"/>
  <c r="C45"/>
  <c r="D45" s="1"/>
  <c r="E45" s="1"/>
  <c r="F45" s="1"/>
  <c r="G45" s="1"/>
  <c r="C46"/>
  <c r="D46" s="1"/>
  <c r="E46" s="1"/>
  <c r="F46" s="1"/>
  <c r="G46" s="1"/>
  <c r="H46" s="1"/>
  <c r="I46" s="1"/>
  <c r="J46" s="1"/>
  <c r="K46" s="1"/>
  <c r="L46" s="1"/>
  <c r="M46" s="1"/>
  <c r="C47"/>
  <c r="D47" s="1"/>
  <c r="E47" s="1"/>
  <c r="F47" s="1"/>
  <c r="G47" s="1"/>
  <c r="H47" s="1"/>
  <c r="I47" s="1"/>
  <c r="J47" s="1"/>
  <c r="K47" s="1"/>
  <c r="L47" s="1"/>
  <c r="M47" s="1"/>
  <c r="E19"/>
  <c r="F19" s="1"/>
  <c r="G19" s="1"/>
  <c r="H19" s="1"/>
  <c r="I19" s="1"/>
  <c r="J19" s="1"/>
  <c r="K19" s="1"/>
  <c r="L19" s="1"/>
  <c r="M19" s="1"/>
  <c r="D19"/>
  <c r="D18"/>
  <c r="E18" s="1"/>
  <c r="F18" s="1"/>
  <c r="G18" s="1"/>
  <c r="H18" s="1"/>
  <c r="I18" s="1"/>
  <c r="J18" s="1"/>
  <c r="K18" s="1"/>
  <c r="L18" s="1"/>
  <c r="M18" s="1"/>
  <c r="E17"/>
  <c r="F17" s="1"/>
  <c r="G17" s="1"/>
  <c r="H17" s="1"/>
  <c r="I17" s="1"/>
  <c r="J17" s="1"/>
  <c r="K17" s="1"/>
  <c r="L17" s="1"/>
  <c r="M17" s="1"/>
  <c r="D17"/>
  <c r="E15"/>
  <c r="F15" s="1"/>
  <c r="G15" s="1"/>
  <c r="H15" s="1"/>
  <c r="I15" s="1"/>
  <c r="J15" s="1"/>
  <c r="K15" s="1"/>
  <c r="L15" s="1"/>
  <c r="M15" s="1"/>
  <c r="D15"/>
  <c r="D14"/>
  <c r="E14" s="1"/>
  <c r="F14" s="1"/>
  <c r="G14" s="1"/>
  <c r="H14" s="1"/>
  <c r="I14" s="1"/>
  <c r="J14" s="1"/>
  <c r="K14" s="1"/>
  <c r="L14" s="1"/>
  <c r="M14" s="1"/>
  <c r="E13"/>
  <c r="F13" s="1"/>
  <c r="G13" s="1"/>
  <c r="H13" s="1"/>
  <c r="I13" s="1"/>
  <c r="J13" s="1"/>
  <c r="K13" s="1"/>
  <c r="L13" s="1"/>
  <c r="M13" s="1"/>
  <c r="D13"/>
  <c r="D12"/>
  <c r="E12" s="1"/>
  <c r="F12" s="1"/>
  <c r="G12" s="1"/>
  <c r="H12" s="1"/>
  <c r="I12" s="1"/>
  <c r="J12" s="1"/>
  <c r="K12" s="1"/>
  <c r="L12" s="1"/>
  <c r="M12" s="1"/>
  <c r="E11"/>
  <c r="F11" s="1"/>
  <c r="G11" s="1"/>
  <c r="H11" s="1"/>
  <c r="I11" s="1"/>
  <c r="J11" s="1"/>
  <c r="K11" s="1"/>
  <c r="L11" s="1"/>
  <c r="M11" s="1"/>
  <c r="D11"/>
  <c r="D10"/>
  <c r="E10" s="1"/>
  <c r="F10" s="1"/>
  <c r="G10" s="1"/>
  <c r="H10" s="1"/>
  <c r="I10" s="1"/>
  <c r="J10" s="1"/>
  <c r="K10" s="1"/>
  <c r="L10" s="1"/>
  <c r="M10" s="1"/>
  <c r="E9"/>
  <c r="F9" s="1"/>
  <c r="G9" s="1"/>
  <c r="H9" s="1"/>
  <c r="I9" s="1"/>
  <c r="J9" s="1"/>
  <c r="K9" s="1"/>
  <c r="L9" s="1"/>
  <c r="M9" s="1"/>
  <c r="D9"/>
  <c r="D8"/>
  <c r="E8" s="1"/>
  <c r="F8" s="1"/>
  <c r="G8" s="1"/>
  <c r="H8" s="1"/>
  <c r="I8" s="1"/>
  <c r="J8" s="1"/>
  <c r="K8" s="1"/>
  <c r="L8" s="1"/>
  <c r="M8" s="1"/>
  <c r="E7"/>
  <c r="F7" s="1"/>
  <c r="G7" s="1"/>
  <c r="H7" s="1"/>
  <c r="I7" s="1"/>
  <c r="J7" s="1"/>
  <c r="K7" s="1"/>
  <c r="L7" s="1"/>
  <c r="M7" s="1"/>
  <c r="D7"/>
  <c r="C7"/>
  <c r="C8"/>
  <c r="C9"/>
  <c r="C10"/>
  <c r="C11"/>
  <c r="C12"/>
  <c r="C13"/>
  <c r="C14"/>
  <c r="C15"/>
  <c r="C16"/>
  <c r="D16" s="1"/>
  <c r="E16" s="1"/>
  <c r="F16" s="1"/>
  <c r="G16" s="1"/>
  <c r="H16" s="1"/>
  <c r="I16" s="1"/>
  <c r="J16" s="1"/>
  <c r="K16" s="1"/>
  <c r="L16" s="1"/>
  <c r="M16" s="1"/>
  <c r="C17"/>
  <c r="C18"/>
  <c r="C19"/>
  <c r="V48" i="47"/>
  <c r="AI69" i="48" s="1"/>
  <c r="S39" i="31"/>
  <c r="E39"/>
  <c r="J24"/>
  <c r="I24"/>
  <c r="Q24"/>
  <c r="Z24" s="1"/>
  <c r="H24" s="1"/>
  <c r="C27" i="17"/>
  <c r="C6"/>
  <c r="C26" s="1"/>
  <c r="E12" i="15" s="1"/>
  <c r="S15" i="47"/>
  <c r="S18"/>
  <c r="S19"/>
  <c r="P23"/>
  <c r="S23" s="1"/>
  <c r="S25"/>
  <c r="V58" i="48" s="1"/>
  <c r="V30" i="47"/>
  <c r="V54"/>
  <c r="AI72" i="48" s="1"/>
  <c r="W11" i="15"/>
  <c r="V107" i="31"/>
  <c r="AI56" i="33" s="1"/>
  <c r="S15" i="31"/>
  <c r="S18"/>
  <c r="S19"/>
  <c r="Q23"/>
  <c r="P59" i="32" s="1"/>
  <c r="S25" i="31"/>
  <c r="S40"/>
  <c r="W81" i="32" s="1"/>
  <c r="P58" i="31"/>
  <c r="S58" s="1"/>
  <c r="AC43" i="33" s="1"/>
  <c r="AI43" s="1"/>
  <c r="P57" i="31"/>
  <c r="S57" s="1"/>
  <c r="AC42" i="33" s="1"/>
  <c r="AI42" s="1"/>
  <c r="P56" i="31"/>
  <c r="S56" s="1"/>
  <c r="S55"/>
  <c r="P54"/>
  <c r="P53"/>
  <c r="S53" s="1"/>
  <c r="P51"/>
  <c r="P52"/>
  <c r="P64"/>
  <c r="S64" s="1"/>
  <c r="AI10" i="33" s="1"/>
  <c r="P67" i="31"/>
  <c r="S67" s="1"/>
  <c r="AI13" i="33" s="1"/>
  <c r="P68" i="31"/>
  <c r="W14" i="33" s="1"/>
  <c r="S69" i="31"/>
  <c r="AI15" i="33" s="1"/>
  <c r="P70" i="31"/>
  <c r="W16" i="33"/>
  <c r="P71" i="31"/>
  <c r="S71" s="1"/>
  <c r="AI17" i="33" s="1"/>
  <c r="P72" i="31"/>
  <c r="S72" s="1"/>
  <c r="P73"/>
  <c r="S73"/>
  <c r="P74"/>
  <c r="S74" s="1"/>
  <c r="AI20" i="33" s="1"/>
  <c r="P76" i="31"/>
  <c r="S76" s="1"/>
  <c r="AI22" i="33" s="1"/>
  <c r="P78" i="31"/>
  <c r="S78"/>
  <c r="P79"/>
  <c r="S79" s="1"/>
  <c r="P83"/>
  <c r="S83" s="1"/>
  <c r="AI34" i="33" s="1"/>
  <c r="P84" i="31"/>
  <c r="S84" s="1"/>
  <c r="AI31" i="33" s="1"/>
  <c r="V113" i="31"/>
  <c r="AI59" i="33" s="1"/>
  <c r="D48" i="47"/>
  <c r="D107" i="31"/>
  <c r="E56" i="33" s="1"/>
  <c r="Q12" i="43"/>
  <c r="U51" i="15"/>
  <c r="P21" i="47" s="1"/>
  <c r="U12" i="43"/>
  <c r="H5" i="7"/>
  <c r="AL2" i="33" s="1"/>
  <c r="V56" i="48"/>
  <c r="V54"/>
  <c r="V53"/>
  <c r="V52"/>
  <c r="P25" i="47"/>
  <c r="P58" i="48" s="1"/>
  <c r="P24" i="47"/>
  <c r="P56" i="48" s="1"/>
  <c r="P22" i="47"/>
  <c r="P54" i="48" s="1"/>
  <c r="P20" i="47"/>
  <c r="AC10" i="33"/>
  <c r="AI50"/>
  <c r="J24" i="47"/>
  <c r="Z93" i="48"/>
  <c r="F86" s="1"/>
  <c r="Z92"/>
  <c r="Z91"/>
  <c r="AA80"/>
  <c r="D80"/>
  <c r="Z89" s="1"/>
  <c r="F88"/>
  <c r="Q22" i="31"/>
  <c r="C12" i="48"/>
  <c r="C13"/>
  <c r="V13"/>
  <c r="N15"/>
  <c r="V15"/>
  <c r="V23"/>
  <c r="Y23"/>
  <c r="AE23"/>
  <c r="AJ23" s="1"/>
  <c r="AE24" s="1"/>
  <c r="AJ24" s="1"/>
  <c r="AE25" s="1"/>
  <c r="AJ25" s="1"/>
  <c r="AE26" s="1"/>
  <c r="AJ26" s="1"/>
  <c r="F25"/>
  <c r="AE33"/>
  <c r="U34"/>
  <c r="AE36"/>
  <c r="K37"/>
  <c r="E20" i="31"/>
  <c r="D52" i="48" s="1"/>
  <c r="Q20" i="31"/>
  <c r="P56" i="32" s="1"/>
  <c r="E21" i="31"/>
  <c r="D53" i="48" s="1"/>
  <c r="E22" i="31"/>
  <c r="E23"/>
  <c r="D59" i="32" s="1"/>
  <c r="D56" i="48"/>
  <c r="E25" i="31"/>
  <c r="D58" i="48" s="1"/>
  <c r="P25" i="31"/>
  <c r="P62" i="32" s="1"/>
  <c r="S12" i="15"/>
  <c r="N20" i="17"/>
  <c r="N23"/>
  <c r="AB38" i="47"/>
  <c r="AB40"/>
  <c r="U4"/>
  <c r="J50" s="1"/>
  <c r="W4"/>
  <c r="O5"/>
  <c r="Q5"/>
  <c r="H9"/>
  <c r="H17"/>
  <c r="H18"/>
  <c r="E20"/>
  <c r="E21"/>
  <c r="E22"/>
  <c r="E23"/>
  <c r="K23"/>
  <c r="E25"/>
  <c r="AC34"/>
  <c r="D50"/>
  <c r="D51"/>
  <c r="D52"/>
  <c r="AG55"/>
  <c r="D57"/>
  <c r="AG59"/>
  <c r="AG60"/>
  <c r="F62"/>
  <c r="AG63"/>
  <c r="R64"/>
  <c r="R65"/>
  <c r="AE65"/>
  <c r="R66"/>
  <c r="H17" i="31"/>
  <c r="W39" i="33"/>
  <c r="AC39" s="1"/>
  <c r="AI39" s="1"/>
  <c r="V56" i="32"/>
  <c r="V62"/>
  <c r="AC85"/>
  <c r="D116" i="31"/>
  <c r="C62" i="33" s="1"/>
  <c r="C61"/>
  <c r="C60"/>
  <c r="C59"/>
  <c r="C58"/>
  <c r="E54"/>
  <c r="C52"/>
  <c r="E51"/>
  <c r="E49"/>
  <c r="AI27"/>
  <c r="B22" i="42"/>
  <c r="B33"/>
  <c r="B34" s="1"/>
  <c r="B35" s="1"/>
  <c r="B42"/>
  <c r="D8" i="33"/>
  <c r="E62" i="31"/>
  <c r="E8" i="33" s="1"/>
  <c r="D9"/>
  <c r="E9"/>
  <c r="D10"/>
  <c r="E64" i="31"/>
  <c r="E10" i="33" s="1"/>
  <c r="D11"/>
  <c r="E11"/>
  <c r="D12"/>
  <c r="E66" i="31"/>
  <c r="E12" i="33" s="1"/>
  <c r="D13"/>
  <c r="E67" i="31"/>
  <c r="E13" i="33" s="1"/>
  <c r="D14"/>
  <c r="E68" i="31"/>
  <c r="E14" i="33" s="1"/>
  <c r="D15"/>
  <c r="E15"/>
  <c r="P69" i="31"/>
  <c r="W15" i="33"/>
  <c r="D16"/>
  <c r="E70" i="31"/>
  <c r="E16" i="33" s="1"/>
  <c r="D17"/>
  <c r="E71" i="31"/>
  <c r="E17" i="33" s="1"/>
  <c r="D18"/>
  <c r="E72" i="31"/>
  <c r="E18" i="33" s="1"/>
  <c r="D19"/>
  <c r="E73" i="31"/>
  <c r="E19" i="33" s="1"/>
  <c r="D20"/>
  <c r="E74" i="31"/>
  <c r="E20" i="33" s="1"/>
  <c r="D21"/>
  <c r="E21"/>
  <c r="D22"/>
  <c r="E76" i="31"/>
  <c r="E22" i="33" s="1"/>
  <c r="D23"/>
  <c r="E23"/>
  <c r="E25"/>
  <c r="E26"/>
  <c r="D28"/>
  <c r="D83" i="31"/>
  <c r="D34" i="33" s="1"/>
  <c r="AC34"/>
  <c r="D36"/>
  <c r="P55" i="31"/>
  <c r="W40" i="33"/>
  <c r="W41"/>
  <c r="W42"/>
  <c r="W43"/>
  <c r="D70"/>
  <c r="Z82" s="1"/>
  <c r="AA70"/>
  <c r="Z86"/>
  <c r="F76" s="1"/>
  <c r="F78"/>
  <c r="Z84"/>
  <c r="Z85"/>
  <c r="C12" i="32"/>
  <c r="C13"/>
  <c r="V13"/>
  <c r="N15"/>
  <c r="Y15"/>
  <c r="AJ15"/>
  <c r="V23"/>
  <c r="Y23"/>
  <c r="AE23"/>
  <c r="AJ23"/>
  <c r="AE24" s="1"/>
  <c r="AJ24" s="1"/>
  <c r="AE25" s="1"/>
  <c r="AJ25" s="1"/>
  <c r="AE26" s="1"/>
  <c r="AJ26" s="1"/>
  <c r="F25"/>
  <c r="AE33"/>
  <c r="AE34" s="1"/>
  <c r="U34"/>
  <c r="U35" s="1"/>
  <c r="AE36"/>
  <c r="K37"/>
  <c r="P58"/>
  <c r="D60"/>
  <c r="E69"/>
  <c r="E72"/>
  <c r="E73"/>
  <c r="E74"/>
  <c r="W74"/>
  <c r="E75"/>
  <c r="G80"/>
  <c r="G81"/>
  <c r="G82"/>
  <c r="E84"/>
  <c r="E85"/>
  <c r="G86"/>
  <c r="G87"/>
  <c r="U4" i="31"/>
  <c r="K110" s="1"/>
  <c r="W4"/>
  <c r="K116" s="1"/>
  <c r="O5"/>
  <c r="Q5"/>
  <c r="H9"/>
  <c r="K23"/>
  <c r="V37"/>
  <c r="V38"/>
  <c r="P50"/>
  <c r="N55"/>
  <c r="E56"/>
  <c r="E57"/>
  <c r="E58"/>
  <c r="AD84"/>
  <c r="AA99"/>
  <c r="D109"/>
  <c r="D110"/>
  <c r="D111"/>
  <c r="F121"/>
  <c r="R123"/>
  <c r="R124"/>
  <c r="R125"/>
  <c r="U4" i="43"/>
  <c r="W4"/>
  <c r="K10"/>
  <c r="C11"/>
  <c r="C12" s="1"/>
  <c r="C13" s="1"/>
  <c r="C14" s="1"/>
  <c r="C15" s="1"/>
  <c r="C16" s="1"/>
  <c r="C17" s="1"/>
  <c r="C18" s="1"/>
  <c r="C19" s="1"/>
  <c r="C20" s="1"/>
  <c r="C21" s="1"/>
  <c r="C22" s="1"/>
  <c r="G11"/>
  <c r="I11"/>
  <c r="K11"/>
  <c r="M11"/>
  <c r="O11"/>
  <c r="Q11"/>
  <c r="S11"/>
  <c r="T11"/>
  <c r="U11"/>
  <c r="W11"/>
  <c r="W12"/>
  <c r="C25"/>
  <c r="E25"/>
  <c r="C30"/>
  <c r="E31"/>
  <c r="X40"/>
  <c r="S49"/>
  <c r="X54"/>
  <c r="U54" s="1"/>
  <c r="M56"/>
  <c r="AC40" i="33" s="1"/>
  <c r="M57" i="43"/>
  <c r="M58"/>
  <c r="S50" i="31" s="1"/>
  <c r="M59" i="43"/>
  <c r="P75"/>
  <c r="Q75"/>
  <c r="U75"/>
  <c r="P77" i="31" s="1"/>
  <c r="AC23" i="33" s="1"/>
  <c r="S119" i="43"/>
  <c r="T119"/>
  <c r="E123"/>
  <c r="U4" i="15"/>
  <c r="W4"/>
  <c r="K10"/>
  <c r="C11"/>
  <c r="C12" s="1"/>
  <c r="C13" s="1"/>
  <c r="C14" s="1"/>
  <c r="C15" s="1"/>
  <c r="C16" s="1"/>
  <c r="C17" s="1"/>
  <c r="C18" s="1"/>
  <c r="C19" s="1"/>
  <c r="C20" s="1"/>
  <c r="C21" s="1"/>
  <c r="C22" s="1"/>
  <c r="G11"/>
  <c r="G12"/>
  <c r="I11"/>
  <c r="K11"/>
  <c r="M11"/>
  <c r="O11"/>
  <c r="Q11"/>
  <c r="S11"/>
  <c r="T11"/>
  <c r="U11"/>
  <c r="E23"/>
  <c r="E24"/>
  <c r="C25"/>
  <c r="E25"/>
  <c r="E26"/>
  <c r="E27"/>
  <c r="E28"/>
  <c r="E29"/>
  <c r="S16" i="47" s="1"/>
  <c r="C30" i="15"/>
  <c r="E31"/>
  <c r="X51"/>
  <c r="T60"/>
  <c r="T61"/>
  <c r="T65"/>
  <c r="Q64"/>
  <c r="U61" s="1"/>
  <c r="S84"/>
  <c r="T84"/>
  <c r="X94"/>
  <c r="U94" s="1"/>
  <c r="M96"/>
  <c r="M97"/>
  <c r="M98"/>
  <c r="M99"/>
  <c r="P125"/>
  <c r="Q125"/>
  <c r="U125"/>
  <c r="E133"/>
  <c r="B3" i="17"/>
  <c r="T12" i="43"/>
  <c r="B26" i="17"/>
  <c r="B48"/>
  <c r="B6" i="7"/>
  <c r="H6"/>
  <c r="Y27" i="47" s="1"/>
  <c r="A7" i="7"/>
  <c r="F124" i="31" s="1"/>
  <c r="A8" i="7"/>
  <c r="G7" i="47" s="1"/>
  <c r="A9" i="7"/>
  <c r="A18"/>
  <c r="N134" i="15" s="1"/>
  <c r="G7" i="43"/>
  <c r="B19" i="7"/>
  <c r="E11" i="47" s="1"/>
  <c r="A21" i="7"/>
  <c r="A22"/>
  <c r="A23"/>
  <c r="C3" i="47" s="1"/>
  <c r="B26" i="7"/>
  <c r="E132" i="15" s="1"/>
  <c r="E122" i="43"/>
  <c r="A28" i="7"/>
  <c r="A29"/>
  <c r="A30"/>
  <c r="A34"/>
  <c r="A35"/>
  <c r="T12" i="15"/>
  <c r="AD85" i="31"/>
  <c r="Q12" i="15"/>
  <c r="V57" i="32"/>
  <c r="V58"/>
  <c r="S12" i="43"/>
  <c r="O12"/>
  <c r="AE34" i="48"/>
  <c r="AE35" s="1"/>
  <c r="W18" i="33"/>
  <c r="G12" i="43"/>
  <c r="AC17" i="33"/>
  <c r="W17"/>
  <c r="AC15"/>
  <c r="P52" i="48"/>
  <c r="I12" i="15"/>
  <c r="I12" i="43"/>
  <c r="B5" i="7"/>
  <c r="R47" i="15" s="1"/>
  <c r="U35" i="48"/>
  <c r="U37" s="1"/>
  <c r="AC22" i="33"/>
  <c r="U12" i="15"/>
  <c r="G7"/>
  <c r="W10" i="33"/>
  <c r="AC18"/>
  <c r="P55" i="48"/>
  <c r="AC25" i="33"/>
  <c r="S13" i="15"/>
  <c r="AE37" i="48"/>
  <c r="O12" i="15"/>
  <c r="W22" i="33"/>
  <c r="AC16"/>
  <c r="Z24" i="47"/>
  <c r="I24" s="1"/>
  <c r="AC13" i="33"/>
  <c r="S70" i="31"/>
  <c r="AI16" i="33" s="1"/>
  <c r="W12" i="15"/>
  <c r="G6" i="43"/>
  <c r="AI40" i="33"/>
  <c r="U37" i="32"/>
  <c r="M123" i="43"/>
  <c r="K51" i="47"/>
  <c r="E11" i="31"/>
  <c r="P53" i="48"/>
  <c r="G8" i="31"/>
  <c r="N124" i="43"/>
  <c r="Q21" i="31"/>
  <c r="P57" i="32" s="1"/>
  <c r="T13" i="15"/>
  <c r="S16" i="31"/>
  <c r="C3"/>
  <c r="B5" i="17"/>
  <c r="C5" s="1"/>
  <c r="D5" s="1"/>
  <c r="E5" s="1"/>
  <c r="F5" s="1"/>
  <c r="G5" s="1"/>
  <c r="H5" s="1"/>
  <c r="I5" s="1"/>
  <c r="J5" s="1"/>
  <c r="K5" s="1"/>
  <c r="L5" s="1"/>
  <c r="M5" s="1"/>
  <c r="AC14" i="33"/>
  <c r="Y27" i="31"/>
  <c r="H3" i="17"/>
  <c r="F61" i="47"/>
  <c r="AC26" i="33"/>
  <c r="W20"/>
  <c r="W13"/>
  <c r="AC20"/>
  <c r="P60" i="32"/>
  <c r="AD32" i="47"/>
  <c r="AD31" s="1"/>
  <c r="V55" i="48"/>
  <c r="B36" i="42"/>
  <c r="B37" s="1"/>
  <c r="S13" i="43"/>
  <c r="T13"/>
  <c r="O26" i="47" l="1"/>
  <c r="K12" i="15"/>
  <c r="D36" i="17"/>
  <c r="E36" s="1"/>
  <c r="F36" s="1"/>
  <c r="G36" s="1"/>
  <c r="H36" s="1"/>
  <c r="I36" s="1"/>
  <c r="J36" s="1"/>
  <c r="K36" s="1"/>
  <c r="L36" s="1"/>
  <c r="M36" s="1"/>
  <c r="D6"/>
  <c r="E6" s="1"/>
  <c r="F6" s="1"/>
  <c r="G6" s="1"/>
  <c r="H6" s="1"/>
  <c r="I6" s="1"/>
  <c r="J6" s="1"/>
  <c r="K6" s="1"/>
  <c r="L6" s="1"/>
  <c r="M6" s="1"/>
  <c r="S24" i="31"/>
  <c r="V60" i="32" s="1"/>
  <c r="H45" i="17"/>
  <c r="I45" s="1"/>
  <c r="J45" s="1"/>
  <c r="K45" s="1"/>
  <c r="L45" s="1"/>
  <c r="E31"/>
  <c r="F31" s="1"/>
  <c r="G31" s="1"/>
  <c r="H31" s="1"/>
  <c r="I31" s="1"/>
  <c r="J31" s="1"/>
  <c r="K31" s="1"/>
  <c r="L31" s="1"/>
  <c r="M31" s="1"/>
  <c r="Q13" i="43"/>
  <c r="O13" i="15"/>
  <c r="E44" i="17"/>
  <c r="F44" s="1"/>
  <c r="G44" s="1"/>
  <c r="H44" s="1"/>
  <c r="I44" s="1"/>
  <c r="J44" s="1"/>
  <c r="K44" s="1"/>
  <c r="L44" s="1"/>
  <c r="M44" s="1"/>
  <c r="O13" i="43"/>
  <c r="E42" i="17"/>
  <c r="F42" s="1"/>
  <c r="G42" s="1"/>
  <c r="H42" s="1"/>
  <c r="I42" s="1"/>
  <c r="J42" s="1"/>
  <c r="K42" s="1"/>
  <c r="L42" s="1"/>
  <c r="M42" s="1"/>
  <c r="M13" i="15"/>
  <c r="M13" i="43"/>
  <c r="K12"/>
  <c r="M12"/>
  <c r="M12" i="15"/>
  <c r="M14"/>
  <c r="O14" i="43"/>
  <c r="T14"/>
  <c r="T14" i="15"/>
  <c r="N17" i="17"/>
  <c r="S14" i="15"/>
  <c r="N11" i="17"/>
  <c r="I13" i="15"/>
  <c r="I13" i="43"/>
  <c r="B49" i="17"/>
  <c r="A5" i="7"/>
  <c r="A20"/>
  <c r="N12" i="17"/>
  <c r="U66" i="15"/>
  <c r="T66" s="1"/>
  <c r="E11" i="43"/>
  <c r="D56" i="32"/>
  <c r="D55" i="48"/>
  <c r="S77" i="31"/>
  <c r="AI23" i="33" s="1"/>
  <c r="J109" i="31"/>
  <c r="D26" i="17"/>
  <c r="E13" i="15" s="1"/>
  <c r="G14"/>
  <c r="G13" i="43"/>
  <c r="G13" i="15"/>
  <c r="I16" i="43"/>
  <c r="I16" i="15"/>
  <c r="U13" i="43"/>
  <c r="U13" i="15"/>
  <c r="W13"/>
  <c r="W13" i="43"/>
  <c r="S14"/>
  <c r="I15"/>
  <c r="I15" i="15"/>
  <c r="E11"/>
  <c r="G8" i="47"/>
  <c r="G125" i="31"/>
  <c r="Y37"/>
  <c r="S37" s="1"/>
  <c r="W75" i="32" s="1"/>
  <c r="I14" i="43"/>
  <c r="C49" i="17"/>
  <c r="A6" i="7"/>
  <c r="I14" i="15"/>
  <c r="G66" i="47"/>
  <c r="AC36" i="33"/>
  <c r="S23" i="31"/>
  <c r="V59" i="32" s="1"/>
  <c r="D62"/>
  <c r="AC31" i="33"/>
  <c r="AI18"/>
  <c r="K111" i="31"/>
  <c r="D57" i="32"/>
  <c r="S68" i="31"/>
  <c r="AI14" i="33" s="1"/>
  <c r="N7" i="17"/>
  <c r="X47" i="15"/>
  <c r="T47" s="1"/>
  <c r="Y47"/>
  <c r="S47" s="1"/>
  <c r="S17" i="31" s="1"/>
  <c r="AE35" i="32"/>
  <c r="AE37" s="1"/>
  <c r="B47" i="42"/>
  <c r="B38"/>
  <c r="B39" s="1"/>
  <c r="D48" i="17"/>
  <c r="O14" i="15"/>
  <c r="AG31" i="47"/>
  <c r="N39" i="17"/>
  <c r="N47"/>
  <c r="W23" i="33"/>
  <c r="V12" i="32"/>
  <c r="AC41" i="33"/>
  <c r="AI41" s="1"/>
  <c r="S51" i="31"/>
  <c r="M133" i="15"/>
  <c r="F65" i="47"/>
  <c r="G6" i="15"/>
  <c r="K57" i="47"/>
  <c r="K52"/>
  <c r="D54" i="48"/>
  <c r="D58" i="32"/>
  <c r="T15" i="15"/>
  <c r="N37" i="17"/>
  <c r="G7" i="31"/>
  <c r="S52"/>
  <c r="AG32" i="47"/>
  <c r="AG33" s="1"/>
  <c r="O26" i="31"/>
  <c r="N35" i="17"/>
  <c r="E12" i="43"/>
  <c r="F120" i="31"/>
  <c r="N38" i="17"/>
  <c r="S54" i="31"/>
  <c r="Q13" i="15"/>
  <c r="V12" i="48"/>
  <c r="K15" i="43" l="1"/>
  <c r="K13"/>
  <c r="K16" i="15"/>
  <c r="K13"/>
  <c r="M14" i="43"/>
  <c r="M15" i="15"/>
  <c r="M15" i="43"/>
  <c r="K14" i="15"/>
  <c r="K15"/>
  <c r="G14" i="43"/>
  <c r="K14"/>
  <c r="K17" i="15"/>
  <c r="K17" i="43"/>
  <c r="K16"/>
  <c r="T15"/>
  <c r="I17"/>
  <c r="I17" i="15"/>
  <c r="N14" i="17"/>
  <c r="S17" i="47"/>
  <c r="AD88" i="31"/>
  <c r="U14" i="15"/>
  <c r="U14" i="43"/>
  <c r="V59" i="31"/>
  <c r="N9" i="17"/>
  <c r="N34"/>
  <c r="E26"/>
  <c r="E13" i="43"/>
  <c r="D49" i="17"/>
  <c r="T16" i="15"/>
  <c r="N32" i="17"/>
  <c r="N13"/>
  <c r="U60" i="15" s="1"/>
  <c r="W14" i="43"/>
  <c r="W14" i="15"/>
  <c r="P57" i="48"/>
  <c r="V57" s="1"/>
  <c r="AI50" s="1"/>
  <c r="S26" i="47"/>
  <c r="G15" i="43"/>
  <c r="G15" i="15"/>
  <c r="Q14"/>
  <c r="Q14" i="43"/>
  <c r="AG87" i="31"/>
  <c r="AG86"/>
  <c r="AG88"/>
  <c r="V100" s="1"/>
  <c r="AI49" i="33" s="1"/>
  <c r="AG35" i="47"/>
  <c r="AG34"/>
  <c r="AH59"/>
  <c r="AH60"/>
  <c r="AH63"/>
  <c r="AH55"/>
  <c r="K18" i="43"/>
  <c r="K18" i="15"/>
  <c r="AI36" i="33"/>
  <c r="S26" i="31"/>
  <c r="P61" i="32"/>
  <c r="V61" s="1"/>
  <c r="AC54" s="1"/>
  <c r="O15" i="15"/>
  <c r="O15" i="43"/>
  <c r="U106" i="15"/>
  <c r="N46" i="17"/>
  <c r="E48"/>
  <c r="N40"/>
  <c r="U83" i="43" s="1"/>
  <c r="N29" i="17"/>
  <c r="N33"/>
  <c r="S15" i="43"/>
  <c r="S15" i="15"/>
  <c r="E30"/>
  <c r="T77" i="43"/>
  <c r="P66" i="31" s="1"/>
  <c r="E30" i="43"/>
  <c r="N19" i="17"/>
  <c r="S41" i="31" s="1"/>
  <c r="W82" i="32" s="1"/>
  <c r="M16" i="43" l="1"/>
  <c r="M16" i="15"/>
  <c r="E49" i="17"/>
  <c r="T16" i="43"/>
  <c r="U103"/>
  <c r="T103" s="1"/>
  <c r="P31" i="31" s="1"/>
  <c r="I18" i="15"/>
  <c r="I18" i="43"/>
  <c r="W15"/>
  <c r="W15" i="15"/>
  <c r="E14" i="43"/>
  <c r="E14" i="15"/>
  <c r="U15"/>
  <c r="U15" i="43"/>
  <c r="F26" i="17"/>
  <c r="R84" i="15"/>
  <c r="U84" s="1"/>
  <c r="R119" i="43"/>
  <c r="U119" s="1"/>
  <c r="S46" i="31" s="1"/>
  <c r="V46" s="1"/>
  <c r="W87" i="32" s="1"/>
  <c r="AC89" s="1"/>
  <c r="S66" i="31"/>
  <c r="AI12" i="33" s="1"/>
  <c r="W12"/>
  <c r="AC12"/>
  <c r="F48" i="17"/>
  <c r="Q15" i="43"/>
  <c r="Q15" i="15"/>
  <c r="O16"/>
  <c r="O16" i="43"/>
  <c r="S16" i="15"/>
  <c r="S16" i="43"/>
  <c r="S99" i="31"/>
  <c r="AH118"/>
  <c r="AH119"/>
  <c r="AH122"/>
  <c r="AH114"/>
  <c r="G16" i="43"/>
  <c r="G16" i="15"/>
  <c r="P80" i="31"/>
  <c r="N6" i="17"/>
  <c r="K19" i="43"/>
  <c r="K19" i="15"/>
  <c r="N27" i="17"/>
  <c r="T127" i="15"/>
  <c r="AG89" i="31"/>
  <c r="M17" i="43" l="1"/>
  <c r="M17" i="15"/>
  <c r="T17" i="43"/>
  <c r="T17" i="15"/>
  <c r="I19" i="43"/>
  <c r="I19" i="15"/>
  <c r="W16"/>
  <c r="W16" i="43"/>
  <c r="H26" i="17"/>
  <c r="E17" i="15" s="1"/>
  <c r="G26" i="17"/>
  <c r="U16" i="43"/>
  <c r="U16" i="15"/>
  <c r="E15" i="43"/>
  <c r="E15" i="15"/>
  <c r="S80" i="31"/>
  <c r="AI28" i="33" s="1"/>
  <c r="AC28"/>
  <c r="G17" i="43"/>
  <c r="G17" i="15"/>
  <c r="F49" i="17"/>
  <c r="K20" i="43"/>
  <c r="K20" i="15"/>
  <c r="S17"/>
  <c r="S17" i="43"/>
  <c r="O17"/>
  <c r="O17" i="15"/>
  <c r="AG91" i="31"/>
  <c r="AG90"/>
  <c r="Q16" i="15"/>
  <c r="Q16" i="43"/>
  <c r="G48" i="17"/>
  <c r="M18" i="43" l="1"/>
  <c r="M18" i="15"/>
  <c r="T18" i="43"/>
  <c r="T18" i="15"/>
  <c r="I20" i="43"/>
  <c r="I20" i="15"/>
  <c r="E17" i="43"/>
  <c r="G49" i="17"/>
  <c r="E16" i="43"/>
  <c r="E16" i="15"/>
  <c r="W17"/>
  <c r="W17" i="43"/>
  <c r="U17"/>
  <c r="U17" i="15"/>
  <c r="AG92" i="31"/>
  <c r="N28" i="17"/>
  <c r="G18" i="43"/>
  <c r="G18" i="15"/>
  <c r="O18"/>
  <c r="O18" i="43"/>
  <c r="H48" i="17"/>
  <c r="H49" s="1"/>
  <c r="S18" i="43"/>
  <c r="S18" i="15"/>
  <c r="Q17" i="43"/>
  <c r="Q17" i="15"/>
  <c r="K21" i="43"/>
  <c r="K21" i="15"/>
  <c r="M19" i="43" l="1"/>
  <c r="M19" i="15"/>
  <c r="T19" i="43"/>
  <c r="T19" i="15"/>
  <c r="I21"/>
  <c r="I21" i="43"/>
  <c r="I26" i="17"/>
  <c r="U18" i="15"/>
  <c r="U18" i="43"/>
  <c r="W18"/>
  <c r="W18" i="15"/>
  <c r="Q18" i="43"/>
  <c r="Q18" i="15"/>
  <c r="S19" i="43"/>
  <c r="S19" i="15"/>
  <c r="O19"/>
  <c r="O19" i="43"/>
  <c r="J26" i="17"/>
  <c r="K22" i="15"/>
  <c r="K32" s="1"/>
  <c r="K22" i="43"/>
  <c r="K32" s="1"/>
  <c r="N36" i="17"/>
  <c r="P62" i="31" s="1"/>
  <c r="I48" i="17"/>
  <c r="G19" i="15"/>
  <c r="G19" i="43"/>
  <c r="M20" l="1"/>
  <c r="M20" i="15"/>
  <c r="T20" i="43"/>
  <c r="T20" i="15"/>
  <c r="I49" i="17"/>
  <c r="I22" i="43"/>
  <c r="I32" s="1"/>
  <c r="N16" i="17"/>
  <c r="Q37" i="31" s="1"/>
  <c r="I22" i="15"/>
  <c r="I32" s="1"/>
  <c r="U19" i="43"/>
  <c r="U19" i="15"/>
  <c r="W19"/>
  <c r="V50" i="47" s="1"/>
  <c r="W19" i="43"/>
  <c r="E18" i="15"/>
  <c r="E18" i="43"/>
  <c r="J48" i="17"/>
  <c r="J49" s="1"/>
  <c r="N8"/>
  <c r="Q19" i="15"/>
  <c r="Q19" i="43"/>
  <c r="G20" i="15"/>
  <c r="G20" i="43"/>
  <c r="O20"/>
  <c r="O20" i="15"/>
  <c r="S20"/>
  <c r="S20" i="43"/>
  <c r="S62" i="31"/>
  <c r="W8" i="33"/>
  <c r="AC8"/>
  <c r="E19" i="43"/>
  <c r="E19" i="15"/>
  <c r="M21" l="1"/>
  <c r="M21" i="43"/>
  <c r="V109" i="31"/>
  <c r="T21" i="15"/>
  <c r="T21" i="43"/>
  <c r="W20"/>
  <c r="W20" i="15"/>
  <c r="K26" i="17"/>
  <c r="U20" i="15"/>
  <c r="U20" i="43"/>
  <c r="U65" i="15"/>
  <c r="U108" i="43"/>
  <c r="T108" s="1"/>
  <c r="P33" i="31" s="1"/>
  <c r="U64" i="15"/>
  <c r="U107" i="43"/>
  <c r="Q107" s="1"/>
  <c r="U104" s="1"/>
  <c r="T104" s="1"/>
  <c r="Q20"/>
  <c r="Q20" i="15"/>
  <c r="N15" i="17"/>
  <c r="Q36" i="31" s="1"/>
  <c r="S21" i="15"/>
  <c r="S21" i="43"/>
  <c r="K48" i="17"/>
  <c r="G21" i="15"/>
  <c r="G21" i="43"/>
  <c r="AI8" i="33"/>
  <c r="O21" i="43"/>
  <c r="O21" i="15"/>
  <c r="L26" i="17"/>
  <c r="M22" i="15" l="1"/>
  <c r="M32" s="1"/>
  <c r="M22" i="43"/>
  <c r="M32" s="1"/>
  <c r="N42" i="17"/>
  <c r="P63" i="31" s="1"/>
  <c r="T22" i="43"/>
  <c r="T32" s="1"/>
  <c r="T22" i="15"/>
  <c r="T32" s="1"/>
  <c r="N18" i="17"/>
  <c r="S35" i="31" s="1"/>
  <c r="W73" i="32" s="1"/>
  <c r="M26" i="17"/>
  <c r="N10"/>
  <c r="E20" i="15"/>
  <c r="E20" i="43"/>
  <c r="V51" i="47"/>
  <c r="V110" i="31"/>
  <c r="U21" i="43"/>
  <c r="U21" i="15"/>
  <c r="W21"/>
  <c r="W21" i="43"/>
  <c r="K49" i="17"/>
  <c r="E21" i="15"/>
  <c r="E21" i="43"/>
  <c r="O22"/>
  <c r="O32" s="1"/>
  <c r="O22" i="15"/>
  <c r="O32" s="1"/>
  <c r="N44" i="17"/>
  <c r="P32" i="31"/>
  <c r="T109" i="43"/>
  <c r="P34" i="31" s="1"/>
  <c r="S34" s="1"/>
  <c r="U109" i="43"/>
  <c r="AC47" i="33"/>
  <c r="G22" i="15"/>
  <c r="G32" s="1"/>
  <c r="G22" i="43"/>
  <c r="G32" s="1"/>
  <c r="N41" i="17"/>
  <c r="S38" i="31" s="1"/>
  <c r="W80" i="32" s="1"/>
  <c r="L48" i="17"/>
  <c r="L49" s="1"/>
  <c r="S22" i="43"/>
  <c r="S32" s="1"/>
  <c r="S22" i="15"/>
  <c r="S32" s="1"/>
  <c r="N26" i="17"/>
  <c r="S13" i="31" s="1"/>
  <c r="E22" i="43"/>
  <c r="E22" i="15"/>
  <c r="Q21" i="43"/>
  <c r="Q21" i="15"/>
  <c r="N30" i="17"/>
  <c r="V14" i="31" l="1"/>
  <c r="V26"/>
  <c r="W9" i="33"/>
  <c r="S63" i="31"/>
  <c r="AI9" i="33" s="1"/>
  <c r="AC9"/>
  <c r="V42" i="31"/>
  <c r="E32" i="43"/>
  <c r="T101" s="1"/>
  <c r="U22"/>
  <c r="U32" s="1"/>
  <c r="U22" i="15"/>
  <c r="U32" s="1"/>
  <c r="N43" i="17"/>
  <c r="P65" i="31" s="1"/>
  <c r="AC11" i="33" s="1"/>
  <c r="V111" i="31"/>
  <c r="V112" s="1"/>
  <c r="AI58" i="33" s="1"/>
  <c r="V52" i="47"/>
  <c r="V53" s="1"/>
  <c r="AI71" i="48" s="1"/>
  <c r="E32" i="15"/>
  <c r="T58" s="1"/>
  <c r="W22"/>
  <c r="W22" i="43"/>
  <c r="W32" s="1"/>
  <c r="N45" i="17"/>
  <c r="S14" i="47"/>
  <c r="M48" i="17"/>
  <c r="Q22" i="43"/>
  <c r="Q32" s="1"/>
  <c r="Q22" i="15"/>
  <c r="Q32" s="1"/>
  <c r="N31" i="17"/>
  <c r="P75" i="31" s="1"/>
  <c r="V29"/>
  <c r="W72" i="32"/>
  <c r="AC84" s="1"/>
  <c r="AB109" i="31" l="1"/>
  <c r="AB104" s="1"/>
  <c r="S65"/>
  <c r="AI11" i="33" s="1"/>
  <c r="W11"/>
  <c r="V57" i="47"/>
  <c r="V116" i="31"/>
  <c r="S119" s="1"/>
  <c r="W32" i="15"/>
  <c r="AB50" i="47"/>
  <c r="AB46" s="1"/>
  <c r="V26"/>
  <c r="V28" s="1"/>
  <c r="V31" s="1"/>
  <c r="V14"/>
  <c r="AC44" i="48" s="1"/>
  <c r="AI48" s="1"/>
  <c r="AI60" s="1"/>
  <c r="AI62" s="1"/>
  <c r="N48" i="17"/>
  <c r="M49"/>
  <c r="N49" s="1"/>
  <c r="S75" i="31"/>
  <c r="AI21" i="33" s="1"/>
  <c r="AC21"/>
  <c r="AC30" s="1"/>
  <c r="W21"/>
  <c r="AC57" i="31"/>
  <c r="W44" i="32"/>
  <c r="AC52" s="1"/>
  <c r="AC64" s="1"/>
  <c r="AC69" s="1"/>
  <c r="AC86" s="1"/>
  <c r="AC92" s="1"/>
  <c r="AI101" s="1"/>
  <c r="V28" i="31"/>
  <c r="V44" s="1"/>
  <c r="V48" s="1"/>
  <c r="V60" s="1"/>
  <c r="AC55"/>
  <c r="AC58"/>
  <c r="AC56"/>
  <c r="AI75" i="48" l="1"/>
  <c r="D82" s="1"/>
  <c r="V59" i="47"/>
  <c r="R59" s="1"/>
  <c r="AI62" i="33"/>
  <c r="D72" s="1"/>
  <c r="V118" i="31"/>
  <c r="R118" s="1"/>
  <c r="P82"/>
  <c r="S82" s="1"/>
  <c r="S85" s="1"/>
  <c r="V85" s="1"/>
  <c r="V86" s="1"/>
  <c r="L41" i="47"/>
  <c r="N41" s="1"/>
  <c r="R41" s="1"/>
  <c r="L35"/>
  <c r="N35" s="1"/>
  <c r="L36"/>
  <c r="N36" s="1"/>
  <c r="R36" s="1"/>
  <c r="AB39"/>
  <c r="L38"/>
  <c r="N38" s="1"/>
  <c r="R38" s="1"/>
  <c r="L39"/>
  <c r="N39" s="1"/>
  <c r="R39" s="1"/>
  <c r="L37"/>
  <c r="N37" s="1"/>
  <c r="R37" s="1"/>
  <c r="L40"/>
  <c r="N40" s="1"/>
  <c r="R40" s="1"/>
  <c r="V43"/>
  <c r="AI64" i="48" s="1"/>
  <c r="AB37" i="47"/>
  <c r="AB41" s="1"/>
  <c r="AC88" i="33"/>
  <c r="AP88" s="1"/>
  <c r="AI24"/>
  <c r="AC32"/>
  <c r="AI30"/>
  <c r="AI32" l="1"/>
  <c r="AI45" s="1"/>
  <c r="AI47" s="1"/>
  <c r="V87" i="31"/>
  <c r="AD87"/>
  <c r="T42" i="47"/>
  <c r="V32" s="1"/>
  <c r="M96" i="31" l="1"/>
  <c r="O96" s="1"/>
  <c r="T95" s="1"/>
  <c r="M98"/>
  <c r="O98" s="1"/>
  <c r="T97" s="1"/>
  <c r="M92"/>
  <c r="O92" s="1"/>
  <c r="M94"/>
  <c r="O94" s="1"/>
  <c r="T93" s="1"/>
  <c r="AC98" i="48"/>
  <c r="AP47" i="33"/>
  <c r="AI48"/>
  <c r="V45" i="47"/>
  <c r="AI66" i="48" s="1"/>
  <c r="V44" i="47"/>
  <c r="AI63" i="48"/>
  <c r="AI65" s="1"/>
  <c r="E94" i="31"/>
  <c r="G94" s="1"/>
  <c r="K93" s="1"/>
  <c r="E96"/>
  <c r="G96" s="1"/>
  <c r="K95" s="1"/>
  <c r="AB95"/>
  <c r="E98"/>
  <c r="G98" s="1"/>
  <c r="K97" s="1"/>
  <c r="E92"/>
  <c r="G92" s="1"/>
  <c r="AG85"/>
  <c r="AE124"/>
  <c r="AC90" s="1"/>
  <c r="T98" l="1"/>
  <c r="AG118"/>
  <c r="AG119"/>
  <c r="AG122"/>
  <c r="AG114"/>
  <c r="K98"/>
  <c r="V88" s="1"/>
  <c r="U46" i="47"/>
  <c r="V46" s="1"/>
  <c r="AI67" i="48" s="1"/>
  <c r="AI68" s="1"/>
  <c r="S45" i="47"/>
  <c r="V103" i="31" l="1"/>
  <c r="V104"/>
  <c r="AI53" i="33" s="1"/>
  <c r="AB96" i="31"/>
  <c r="AB97" s="1"/>
  <c r="V101" s="1"/>
  <c r="AI51" i="33" s="1"/>
  <c r="V47" i="47"/>
  <c r="AI52" i="33" l="1"/>
  <c r="AB45" i="47"/>
  <c r="S49"/>
  <c r="V49" s="1"/>
  <c r="U105" i="31" l="1"/>
  <c r="V105" s="1"/>
  <c r="AI54" i="33" s="1"/>
  <c r="S104" i="31"/>
  <c r="AB47" i="47"/>
  <c r="AA48" s="1"/>
  <c r="AB48" s="1"/>
  <c r="U54" s="1"/>
  <c r="V55"/>
  <c r="AI70" i="48"/>
  <c r="V106" i="31" l="1"/>
  <c r="AI55" i="33" s="1"/>
  <c r="V56" i="47"/>
  <c r="AI74" i="48" s="1"/>
  <c r="AI73"/>
  <c r="S108" i="31" l="1"/>
  <c r="AB103"/>
  <c r="AB105" s="1"/>
  <c r="Y76" i="48"/>
  <c r="R56" i="47"/>
  <c r="AI76" i="48"/>
  <c r="V108" i="31" l="1"/>
  <c r="V114" s="1"/>
  <c r="AA106"/>
  <c r="AB106" s="1"/>
  <c r="U113" s="1"/>
  <c r="AI60" i="33" l="1"/>
  <c r="V115" i="31"/>
  <c r="AI61" i="33" s="1"/>
  <c r="AI57"/>
  <c r="AI64" l="1"/>
  <c r="Y64" s="1"/>
</calcChain>
</file>

<file path=xl/comments1.xml><?xml version="1.0" encoding="utf-8"?>
<comments xmlns="http://schemas.openxmlformats.org/spreadsheetml/2006/main">
  <authors>
    <author>ACODP</author>
    <author>PREDP</author>
    <author>Cyber</author>
  </authors>
  <commentList>
    <comment ref="H7" authorId="0">
      <text>
        <r>
          <rPr>
            <b/>
            <sz val="8"/>
            <color indexed="81"/>
            <rFont val="Tahoma"/>
            <family val="2"/>
          </rPr>
          <t xml:space="preserve">Cyber Group Dangs:
Enter Sort Name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Cyber Group Dangs:
Enter Your Full Name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9" authorId="0">
      <text>
        <r>
          <rPr>
            <b/>
            <sz val="8"/>
            <color indexed="81"/>
            <rFont val="Tahoma"/>
            <family val="2"/>
          </rPr>
          <t>Cyber Group Dangs:
Enter Your Father's Full Name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0" authorId="1">
      <text>
        <r>
          <rPr>
            <b/>
            <sz val="10"/>
            <color indexed="81"/>
            <rFont val="Tahoma"/>
            <family val="2"/>
          </rPr>
          <t>Cyber Group Dangs:
Enter Your 
Flat/Door/Block No.</t>
        </r>
      </text>
    </comment>
    <comment ref="H11" authorId="1">
      <text>
        <r>
          <rPr>
            <b/>
            <sz val="10"/>
            <color indexed="81"/>
            <rFont val="Tahoma"/>
            <family val="2"/>
          </rPr>
          <t>Cyber Group Dangs:
Enter Your 
Name Of Premises/Building/Village</t>
        </r>
      </text>
    </comment>
    <comment ref="H12" authorId="1">
      <text>
        <r>
          <rPr>
            <b/>
            <sz val="10"/>
            <color indexed="81"/>
            <rFont val="Tahoma"/>
            <family val="2"/>
          </rPr>
          <t>Cyber Group Dangs:
Enter Your 
Road/Street/Post Office</t>
        </r>
      </text>
    </comment>
    <comment ref="H13" authorId="1">
      <text>
        <r>
          <rPr>
            <b/>
            <sz val="10"/>
            <color indexed="81"/>
            <rFont val="Tahoma"/>
            <family val="2"/>
          </rPr>
          <t>Cyber Group Dangs:
Enter Your 
Area / Locality</t>
        </r>
      </text>
    </comment>
    <comment ref="H14" authorId="1">
      <text>
        <r>
          <rPr>
            <b/>
            <sz val="10"/>
            <color indexed="81"/>
            <rFont val="Tahoma"/>
            <family val="2"/>
          </rPr>
          <t>Cyber Group Dangs:
Enter Your 
Town/City/District</t>
        </r>
      </text>
    </comment>
    <comment ref="H15" authorId="1">
      <text>
        <r>
          <rPr>
            <b/>
            <sz val="10"/>
            <color indexed="81"/>
            <rFont val="Tahoma"/>
            <family val="2"/>
          </rPr>
          <t>Cyber Group Dangs:
Enter Your  State</t>
        </r>
      </text>
    </comment>
    <comment ref="H16" authorId="1">
      <text>
        <r>
          <rPr>
            <b/>
            <sz val="10"/>
            <color indexed="81"/>
            <rFont val="Tahoma"/>
            <family val="2"/>
          </rPr>
          <t>Cyber Group Dangs:
Enter Your 
Pin Code No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Cyber Group Dangs: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DATE FORMAT 
DD/MM/YYYY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Cyber Group Dangs:
Enter Designation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Cyber Group Dangs:
Enter PAN NO Without Space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0" authorId="0">
      <text>
        <r>
          <rPr>
            <b/>
            <sz val="8"/>
            <color indexed="81"/>
            <rFont val="Tahoma"/>
            <family val="2"/>
          </rPr>
          <t>Cyber Group Dangs:
Enter TDS Circle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 xml:space="preserve">Cyber Group Dangs:
Enter TAN No. :
</t>
        </r>
      </text>
    </comment>
    <comment ref="H22" authorId="0">
      <text>
        <r>
          <rPr>
            <b/>
            <sz val="8"/>
            <color indexed="81"/>
            <rFont val="Tahoma"/>
            <family val="2"/>
          </rPr>
          <t>Cyber Group Dangs:
Enter TDS Circle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3" authorId="0">
      <text>
        <r>
          <rPr>
            <b/>
            <sz val="8"/>
            <color indexed="81"/>
            <rFont val="Tahoma"/>
            <family val="2"/>
          </rPr>
          <t xml:space="preserve">Cyber Group Dangs:
Enter Name of Deptt/Office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4" authorId="0">
      <text>
        <r>
          <rPr>
            <b/>
            <sz val="8"/>
            <color indexed="81"/>
            <rFont val="Tahoma"/>
            <family val="2"/>
          </rPr>
          <t xml:space="preserve">Cyber Group Dangs:
Enter Design. of Drawing Officer 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5" authorId="0">
      <text>
        <r>
          <rPr>
            <b/>
            <sz val="8"/>
            <color indexed="81"/>
            <rFont val="Tahoma"/>
            <family val="2"/>
          </rPr>
          <t xml:space="preserve">Cyber Group Dangs:
Enter Deptt's Name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6" authorId="2">
      <text>
        <r>
          <rPr>
            <b/>
            <sz val="8"/>
            <color indexed="81"/>
            <rFont val="Tahoma"/>
            <family val="2"/>
          </rPr>
          <t xml:space="preserve">Cyber Group Dangs:
Enter Place
</t>
        </r>
      </text>
    </comment>
    <comment ref="H27" authorId="2">
      <text>
        <r>
          <rPr>
            <b/>
            <sz val="8"/>
            <color indexed="81"/>
            <rFont val="Tahoma"/>
            <family val="2"/>
          </rPr>
          <t xml:space="preserve">Cyber Group Dangs:
Enter Drawing Office Full Name 
</t>
        </r>
      </text>
    </comment>
    <comment ref="H28" authorId="2">
      <text>
        <r>
          <rPr>
            <b/>
            <sz val="8"/>
            <color indexed="81"/>
            <rFont val="Tahoma"/>
            <family val="2"/>
          </rPr>
          <t xml:space="preserve">Cyber Group Dangs:
Enter Drawing Office Full Name 
</t>
        </r>
      </text>
    </comment>
    <comment ref="H30" authorId="2">
      <text>
        <r>
          <rPr>
            <b/>
            <sz val="8"/>
            <color indexed="81"/>
            <rFont val="Tahoma"/>
            <family val="2"/>
          </rPr>
          <t xml:space="preserve">Cyber Group Dangs:
Enter Your Bank Name for Refend tax Amount
</t>
        </r>
      </text>
    </comment>
    <comment ref="H31" authorId="2">
      <text>
        <r>
          <rPr>
            <b/>
            <sz val="8"/>
            <color indexed="81"/>
            <rFont val="Tahoma"/>
            <family val="2"/>
          </rPr>
          <t>Cyber Group Dangs:
Enter Your Bank Name Acctt. No. for Refend tax Amount</t>
        </r>
      </text>
    </comment>
    <comment ref="H32" authorId="2">
      <text>
        <r>
          <rPr>
            <b/>
            <sz val="8"/>
            <color indexed="81"/>
            <rFont val="Tahoma"/>
            <family val="2"/>
          </rPr>
          <t>Cyber Group Dangs:
Enter Your Bank Name Acctt. No. for Refend tax Amount</t>
        </r>
      </text>
    </comment>
    <comment ref="H33" authorId="2">
      <text>
        <r>
          <rPr>
            <b/>
            <sz val="8"/>
            <color indexed="81"/>
            <rFont val="Tahoma"/>
            <family val="2"/>
          </rPr>
          <t>Cyber Group Dangs:
Enter Your Bank Name Acctt. No. for Refend tax Amount</t>
        </r>
      </text>
    </comment>
    <comment ref="H35" authorId="2">
      <text>
        <r>
          <rPr>
            <b/>
            <sz val="8"/>
            <color indexed="81"/>
            <rFont val="Tahoma"/>
            <family val="2"/>
          </rPr>
          <t xml:space="preserve">Cyber Group Dangs:
Enter Your Bank Name for Refend tax Amount
</t>
        </r>
      </text>
    </comment>
    <comment ref="H36" authorId="2">
      <text>
        <r>
          <rPr>
            <b/>
            <sz val="8"/>
            <color indexed="81"/>
            <rFont val="Tahoma"/>
            <family val="2"/>
          </rPr>
          <t>Cyber Group Dangs:
Enter Your Bank Name Acctt. No. for Refend tax Amount</t>
        </r>
      </text>
    </comment>
    <comment ref="H37" authorId="2">
      <text>
        <r>
          <rPr>
            <b/>
            <sz val="8"/>
            <color indexed="81"/>
            <rFont val="Tahoma"/>
            <family val="2"/>
          </rPr>
          <t>Cyber Group Dangs:
Enter Your Bank Name Acctt. No. for Refend tax Amount</t>
        </r>
      </text>
    </comment>
    <comment ref="H38" authorId="2">
      <text>
        <r>
          <rPr>
            <b/>
            <sz val="8"/>
            <color indexed="81"/>
            <rFont val="Tahoma"/>
            <family val="2"/>
          </rPr>
          <t>Cyber Group Dangs:
Enter Your Bank Name Acctt. No. for Refend tax Amount</t>
        </r>
      </text>
    </comment>
  </commentList>
</comments>
</file>

<file path=xl/comments2.xml><?xml version="1.0" encoding="utf-8"?>
<comments xmlns="http://schemas.openxmlformats.org/spreadsheetml/2006/main">
  <authors>
    <author>PS2DDO</author>
  </authors>
  <commentList>
    <comment ref="U40" authorId="0">
      <text>
        <r>
          <rPr>
            <b/>
            <sz val="9"/>
            <color indexed="81"/>
            <rFont val="Tahoma"/>
            <family val="2"/>
          </rPr>
          <t xml:space="preserve">Cyber Group Dangs :
</t>
        </r>
        <r>
          <rPr>
            <sz val="9"/>
            <color indexed="81"/>
            <rFont val="Tahoma"/>
            <family val="2"/>
          </rPr>
          <t xml:space="preserve">
For Govt. employee
No Limit
Semi Govt. Employee
Rs. 3 Lacs</t>
        </r>
      </text>
    </comment>
  </commentList>
</comments>
</file>

<file path=xl/comments3.xml><?xml version="1.0" encoding="utf-8"?>
<comments xmlns="http://schemas.openxmlformats.org/spreadsheetml/2006/main">
  <authors>
    <author>PREDP</author>
  </authors>
  <commentList>
    <comment ref="R123" authorId="0">
      <text>
        <r>
          <rPr>
            <b/>
            <sz val="10"/>
            <color indexed="81"/>
            <rFont val="Tahoma"/>
            <family val="2"/>
          </rPr>
          <t>Cyber Group Dangs:
Please fill Manually
For Primary Teacher Under Taluka Panchayat</t>
        </r>
      </text>
    </comment>
    <comment ref="R124" authorId="0">
      <text>
        <r>
          <rPr>
            <b/>
            <sz val="10"/>
            <color indexed="81"/>
            <rFont val="Tahoma"/>
            <family val="2"/>
          </rPr>
          <t xml:space="preserve">Cyber Group Dangs:
Please fill Manually
For Primary Teacher Under Taluka Panchayat
</t>
        </r>
      </text>
    </comment>
  </commentList>
</comments>
</file>

<file path=xl/comments4.xml><?xml version="1.0" encoding="utf-8"?>
<comments xmlns="http://schemas.openxmlformats.org/spreadsheetml/2006/main">
  <authors>
    <author>PREDP</author>
  </authors>
  <commentList>
    <comment ref="R64" authorId="0">
      <text>
        <r>
          <rPr>
            <b/>
            <sz val="10"/>
            <color indexed="81"/>
            <rFont val="Tahoma"/>
            <family val="2"/>
          </rPr>
          <t>Cyber Group Dangs:
Please fill Manually
For Primary Teacher Under Taluka Panchayat</t>
        </r>
      </text>
    </comment>
    <comment ref="R65" authorId="0">
      <text>
        <r>
          <rPr>
            <b/>
            <sz val="10"/>
            <color indexed="81"/>
            <rFont val="Tahoma"/>
            <family val="2"/>
          </rPr>
          <t xml:space="preserve">Cyber Group Dangs:
Please fill Manually
For Primary Teacher Under Taluka Panchayat
</t>
        </r>
      </text>
    </comment>
  </commentList>
</comments>
</file>

<file path=xl/comments5.xml><?xml version="1.0" encoding="utf-8"?>
<comments xmlns="http://schemas.openxmlformats.org/spreadsheetml/2006/main">
  <authors>
    <author>S. Mahadeven,FCA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>Cyber Dangs :</t>
        </r>
        <r>
          <rPr>
            <sz val="8"/>
            <color indexed="81"/>
            <rFont val="Tahoma"/>
            <family val="2"/>
          </rPr>
          <t xml:space="preserve">
In the following columns please enter the total of tax, surcharge, if applicable and the eduction cess, deposited.</t>
        </r>
      </text>
    </comment>
    <comment ref="B30" authorId="0">
      <text>
        <r>
          <rPr>
            <b/>
            <sz val="8"/>
            <color indexed="81"/>
            <rFont val="Tahoma"/>
            <family val="2"/>
          </rPr>
          <t>Cyber Dangs :</t>
        </r>
        <r>
          <rPr>
            <sz val="8"/>
            <color indexed="81"/>
            <rFont val="Tahoma"/>
            <family val="2"/>
          </rPr>
          <t xml:space="preserve">
In the following columns please enter the total of tax, surcharge, if applicable and the eduction cess, deposited.</t>
        </r>
      </text>
    </comment>
  </commentList>
</comments>
</file>

<file path=xl/sharedStrings.xml><?xml version="1.0" encoding="utf-8"?>
<sst xmlns="http://schemas.openxmlformats.org/spreadsheetml/2006/main" count="1244" uniqueCount="656">
  <si>
    <t>94263 72895</t>
  </si>
  <si>
    <t>Leena Malani</t>
  </si>
  <si>
    <t>ACFPP3047F</t>
  </si>
  <si>
    <t>G_Total</t>
  </si>
  <si>
    <t>C.T.D / PLI</t>
  </si>
  <si>
    <t xml:space="preserve"> Proposed Calculation</t>
  </si>
  <si>
    <t>All information only in BLUE colour is necessary to fill up</t>
  </si>
  <si>
    <t>U/s 80E</t>
  </si>
  <si>
    <t xml:space="preserve"> </t>
  </si>
  <si>
    <t>All information only in blue color is necessary to fill up</t>
  </si>
  <si>
    <t>Honorarium</t>
  </si>
  <si>
    <t>Medical Treatment  Charge</t>
  </si>
  <si>
    <r>
      <t>Please fill Manually For Primary Teacher Under Taluka Panchayat</t>
    </r>
    <r>
      <rPr>
        <b/>
        <sz val="11"/>
        <color indexed="12"/>
        <rFont val="Bookman Old Style"/>
        <family val="1"/>
      </rPr>
      <t xml:space="preserve"> only in BLUE colour</t>
    </r>
  </si>
  <si>
    <t>Residential Address :</t>
  </si>
  <si>
    <t>Gross Salary Income (Statement enclose] PAY+DA+D.PAY+HRA+CLA+MA+TA and Other Allowance</t>
  </si>
  <si>
    <t>Less : Deduction Admissible</t>
  </si>
  <si>
    <t>Deduction : Under Chapter VI-A</t>
  </si>
  <si>
    <t>Net Taxable Total Income rounded to the nearest Multiple of ten Rupees</t>
  </si>
  <si>
    <t>Income Tax Payable on Total Income Calculation of Income Tax on</t>
  </si>
  <si>
    <t xml:space="preserve">Income Tax up to </t>
  </si>
  <si>
    <t>State Bank of India</t>
  </si>
  <si>
    <t>U/S 80-D</t>
  </si>
  <si>
    <t xml:space="preserve">Prepared by Cyber Group Dangs </t>
  </si>
  <si>
    <t>Only in blue color is necessary to fillup</t>
  </si>
  <si>
    <t>NPA</t>
  </si>
  <si>
    <t>H. R. A.</t>
  </si>
  <si>
    <t>,</t>
  </si>
  <si>
    <t>Total ( a to h )</t>
  </si>
  <si>
    <t>U/S 80-DD</t>
  </si>
  <si>
    <t>Medical Treatment Charge</t>
  </si>
  <si>
    <t>Self Assessment Income Tax Calculation Memo for the Accounting Year</t>
  </si>
  <si>
    <t>And Assessment Year</t>
  </si>
  <si>
    <t>STATEMENT SHOWING THE TOTAL SALARY DURING FINANCIAL YEAR</t>
  </si>
  <si>
    <t>Name     e.g.</t>
  </si>
  <si>
    <t>Full Name     e.g.</t>
  </si>
  <si>
    <t>Father's full Name     e.g.</t>
  </si>
  <si>
    <t>Date of Birth     e.g.</t>
  </si>
  <si>
    <t>Designation     e.g.</t>
  </si>
  <si>
    <t>Name of Deptt/Office     e.g.</t>
  </si>
  <si>
    <t>Design. of Drawing Officer Father Name   e.g.</t>
  </si>
  <si>
    <t xml:space="preserve">    Design. of Drawing Officer     e.g.</t>
  </si>
  <si>
    <t>Deptt's Name     e.g.</t>
  </si>
  <si>
    <t>Place :     e.g.</t>
  </si>
  <si>
    <t>Name of Bank   e.g.</t>
  </si>
  <si>
    <t>Flat/Door/Block No.     e.g.</t>
  </si>
  <si>
    <t>Name Of Premises/Building/Village     e.g.</t>
  </si>
  <si>
    <t>Road/Street/Post Office     e.g.</t>
  </si>
  <si>
    <t>Area /Locality     e.g.</t>
  </si>
  <si>
    <t>Town/City/District     e.g.</t>
  </si>
  <si>
    <t>State     e.g.</t>
  </si>
  <si>
    <t>Pin code     e.g.</t>
  </si>
  <si>
    <t>Pan No.      e.g.</t>
  </si>
  <si>
    <t>TDS Circle:     e.g.</t>
  </si>
  <si>
    <t>TAN No.     e.g.</t>
  </si>
  <si>
    <r>
      <t xml:space="preserve">Click here to  VIEW AND PRINT </t>
    </r>
    <r>
      <rPr>
        <b/>
        <sz val="9"/>
        <color indexed="10"/>
        <rFont val="Arial"/>
        <family val="2"/>
      </rPr>
      <t xml:space="preserve">ITR-2 </t>
    </r>
  </si>
  <si>
    <t>Other Deduction</t>
  </si>
  <si>
    <t>Name :</t>
  </si>
  <si>
    <t>Less House rent allowance exempt U/s 10[13A]</t>
  </si>
  <si>
    <t>[a]</t>
  </si>
  <si>
    <t>[b]</t>
  </si>
  <si>
    <t>[c]</t>
  </si>
  <si>
    <t>Nil</t>
  </si>
  <si>
    <t>LIC</t>
  </si>
  <si>
    <t>Name</t>
  </si>
  <si>
    <t>Place :</t>
  </si>
  <si>
    <t>Date :</t>
  </si>
  <si>
    <t>Amount</t>
  </si>
  <si>
    <t>Date</t>
  </si>
  <si>
    <t>[ii]</t>
  </si>
  <si>
    <t>Rs.</t>
  </si>
  <si>
    <t>Total</t>
  </si>
  <si>
    <t>[d]</t>
  </si>
  <si>
    <t>BACK</t>
  </si>
  <si>
    <t>Income calculation</t>
  </si>
  <si>
    <t>BACK2</t>
  </si>
  <si>
    <t>Assessment Year</t>
  </si>
  <si>
    <t>(b)</t>
  </si>
  <si>
    <t>(d)</t>
  </si>
  <si>
    <t>Signature</t>
  </si>
  <si>
    <t>Shri K J Patel</t>
  </si>
  <si>
    <t>DANGS DISTRICT PANCHAYAT, AHWA</t>
  </si>
  <si>
    <t>Valsad</t>
  </si>
  <si>
    <t>1190003164 or DJ / 29161</t>
  </si>
  <si>
    <t>Gross Salary</t>
  </si>
  <si>
    <t>2nd Child</t>
  </si>
  <si>
    <t>1st  Child</t>
  </si>
  <si>
    <t>I</t>
  </si>
  <si>
    <t>II</t>
  </si>
  <si>
    <t>III</t>
  </si>
  <si>
    <t>V</t>
  </si>
  <si>
    <t>Click here for Back to Main Menu</t>
  </si>
  <si>
    <t>Financial Year</t>
  </si>
  <si>
    <t>Make Your Computer System Date DD/MM/YYYY</t>
  </si>
  <si>
    <t>Designation</t>
  </si>
  <si>
    <t>For Stamp of Drawing Officer</t>
  </si>
  <si>
    <t>Details of Bank Account</t>
  </si>
  <si>
    <t>It's must to write a year if you have taken a loan  of HBA</t>
  </si>
  <si>
    <t>[a] actual amount paid House rent</t>
  </si>
  <si>
    <t>[b] 10% of Pay &amp; DA [Yearly]</t>
  </si>
  <si>
    <t>50% of salary [including D.A.]</t>
  </si>
  <si>
    <t>[a], [b], [c] &amp; [d] which ever is less</t>
  </si>
  <si>
    <t>[i]</t>
  </si>
  <si>
    <t>[e]</t>
  </si>
  <si>
    <t>[g]</t>
  </si>
  <si>
    <t>(a)</t>
  </si>
  <si>
    <t>(c)</t>
  </si>
  <si>
    <t>[f]</t>
  </si>
  <si>
    <t>Kiritchandra Jayantilal Patel</t>
  </si>
  <si>
    <t>Jayantilal Ratilal Patel</t>
  </si>
  <si>
    <t>Actual amount of HRA received [Yearly]</t>
  </si>
  <si>
    <t xml:space="preserve">Expenditure on rent in excess of 10@ of salary [including D.A.] as personal D.A. is including for retirement benefits </t>
  </si>
  <si>
    <t xml:space="preserve"> Please do First Setup the Page in which you want to take print out</t>
  </si>
  <si>
    <t>Entertainment allowance</t>
  </si>
  <si>
    <t>Deduction under Chapter VI-A</t>
  </si>
  <si>
    <t>PAN NO.</t>
  </si>
  <si>
    <t>PSN NO.</t>
  </si>
  <si>
    <t>No.</t>
  </si>
  <si>
    <t>Particular</t>
  </si>
  <si>
    <t>Income</t>
  </si>
  <si>
    <t>Bonus</t>
  </si>
  <si>
    <t>Bank Interest</t>
  </si>
  <si>
    <t>NSC Interest</t>
  </si>
  <si>
    <t>House Rent Income</t>
  </si>
  <si>
    <t>(1)</t>
  </si>
  <si>
    <t>(2)</t>
  </si>
  <si>
    <t>Professional Tax U/S 16(U)</t>
  </si>
  <si>
    <t>Less : HBA Interest U/S 24(1) (vi)</t>
  </si>
  <si>
    <t>Up to Rs. 30,000/- can taken before Dt.1/4/99</t>
  </si>
  <si>
    <t>Gross</t>
  </si>
  <si>
    <t>Qualifying</t>
  </si>
  <si>
    <t>(e)</t>
  </si>
  <si>
    <t>(f)</t>
  </si>
  <si>
    <t>(g)</t>
  </si>
  <si>
    <t>Group Insurance Scheme / CGEIS</t>
  </si>
  <si>
    <t>Public Provident Fund [ PPF ]</t>
  </si>
  <si>
    <t>LIC Premium</t>
  </si>
  <si>
    <t>Deposit in 10 Year, 15 Years 
Account Under the Post Office Saving Band (CTD)</t>
  </si>
  <si>
    <t>(h)</t>
  </si>
  <si>
    <t>NSC Interest re-invested</t>
  </si>
  <si>
    <t>Investment in pension fund</t>
  </si>
  <si>
    <t>Others</t>
  </si>
  <si>
    <t>Tax</t>
  </si>
  <si>
    <t>All information  fill up Here</t>
  </si>
  <si>
    <t>Month of Salary</t>
  </si>
  <si>
    <t>Deduction</t>
  </si>
  <si>
    <t>Tran. Allow.</t>
  </si>
  <si>
    <t>P. T. A.</t>
  </si>
  <si>
    <t>Income Tax</t>
  </si>
  <si>
    <t>Pay Diff.</t>
  </si>
  <si>
    <t>Charge Allow.</t>
  </si>
  <si>
    <t>Sr No.</t>
  </si>
  <si>
    <t>R. No.</t>
  </si>
  <si>
    <t>Details of Bank/post</t>
  </si>
  <si>
    <t>Washing All.</t>
  </si>
  <si>
    <t>Repay-ment of HBA</t>
  </si>
  <si>
    <t>Profes-sional Tax</t>
  </si>
  <si>
    <t>VI</t>
  </si>
  <si>
    <t>PLI Premium</t>
  </si>
  <si>
    <t>xxxxxx</t>
  </si>
  <si>
    <r>
      <t xml:space="preserve">Place : </t>
    </r>
    <r>
      <rPr>
        <sz val="10"/>
        <color indexed="9"/>
        <rFont val="Bookman Old Style"/>
        <family val="1"/>
      </rPr>
      <t>.</t>
    </r>
  </si>
  <si>
    <r>
      <t xml:space="preserve">Date : </t>
    </r>
    <r>
      <rPr>
        <sz val="10"/>
        <color indexed="9"/>
        <rFont val="Bookman Old Style"/>
        <family val="1"/>
      </rPr>
      <t>.</t>
    </r>
  </si>
  <si>
    <t>Equity link Saving fund [ Max. Rs. 15,000/- ]</t>
  </si>
  <si>
    <t>(3)</t>
  </si>
  <si>
    <t>Actual amount of HRA received</t>
  </si>
  <si>
    <t>10% of salary [including D.A.]</t>
  </si>
  <si>
    <t>HRA Ded. Allowed</t>
  </si>
  <si>
    <t>Drawing Officer Name     e.g.</t>
  </si>
  <si>
    <t>Deduction Less House rent allowance exempt U/s 10[13A]</t>
  </si>
  <si>
    <t>(4)</t>
  </si>
  <si>
    <t>b</t>
  </si>
  <si>
    <t>c</t>
  </si>
  <si>
    <t>a</t>
  </si>
  <si>
    <t xml:space="preserve">DA Diff </t>
  </si>
  <si>
    <t>Desi</t>
  </si>
  <si>
    <t>Pay Scale</t>
  </si>
  <si>
    <t>Inc_Date</t>
  </si>
  <si>
    <t xml:space="preserve">PAY </t>
  </si>
  <si>
    <t>MEDICAL</t>
  </si>
  <si>
    <t>TOTAL</t>
  </si>
  <si>
    <t>FESTIVL</t>
  </si>
  <si>
    <t xml:space="preserve">FOOD GRAIN </t>
  </si>
  <si>
    <t>MOTAR CYCLE ADV</t>
  </si>
  <si>
    <t>H.B.A.LOAN</t>
  </si>
  <si>
    <t>M.CYCLE INT</t>
  </si>
  <si>
    <t>H.B.A.INT</t>
  </si>
  <si>
    <t>PRO.TAX</t>
  </si>
  <si>
    <t>GROUP INSURANCE</t>
  </si>
  <si>
    <t>Net Pay</t>
  </si>
  <si>
    <t>Ahwa Dist. Dangs</t>
  </si>
  <si>
    <t>GUJARAT</t>
  </si>
  <si>
    <t>U/S 80-U</t>
  </si>
  <si>
    <t>U/S 80-G</t>
  </si>
  <si>
    <t>U/S 80-GG</t>
  </si>
  <si>
    <t>U/S 80-GGA</t>
  </si>
  <si>
    <t>U/S 80-GGGC</t>
  </si>
  <si>
    <t>80 G</t>
  </si>
  <si>
    <t>80 GG</t>
  </si>
  <si>
    <t>80 GGA</t>
  </si>
  <si>
    <t>80 GGC</t>
  </si>
  <si>
    <t>Specify Percentage for Proposed Calculation 2011-2012 e.g. 10 %</t>
  </si>
  <si>
    <t>Donation U/S 80-G, 80-GG, 80-GGA or 80-GGC</t>
  </si>
  <si>
    <t>20% of the Arrears</t>
  </si>
  <si>
    <t>Aslam Khan</t>
  </si>
  <si>
    <t>BRDROO841B</t>
  </si>
  <si>
    <t>Note : Detail of investment not shown above [in r/o investment to be made] shall be furnished to the A.O. of Bill Budget branch on of before 31 March.</t>
  </si>
  <si>
    <t>HBA Repayment of Principal ( Except Interest )</t>
  </si>
  <si>
    <t xml:space="preserve">Less : Relief U/s 89 [Attach Details Form 10 E]  </t>
  </si>
  <si>
    <t>IV</t>
  </si>
  <si>
    <t>VII</t>
  </si>
  <si>
    <t>kdkj</t>
  </si>
  <si>
    <t>FORM NO. 16</t>
  </si>
  <si>
    <t>[ See third proviso to rule 12(1)(b) and rule 31(1)(a)]</t>
  </si>
  <si>
    <t>Certificate Under section 203 of the Income-tax Act, 1961 for deducted at source</t>
  </si>
  <si>
    <t>Name and Address of the Employer</t>
  </si>
  <si>
    <t>Name and Designation of the Employee</t>
  </si>
  <si>
    <t>PAN No. of the Deductor</t>
  </si>
  <si>
    <t>TAN No. of the Deductor</t>
  </si>
  <si>
    <t>PAN/GIR No.</t>
  </si>
  <si>
    <t>x x x x x x  x</t>
  </si>
  <si>
    <t>CIT (TDS)</t>
  </si>
  <si>
    <t>Period</t>
  </si>
  <si>
    <t>Adress</t>
  </si>
  <si>
    <t>From</t>
  </si>
  <si>
    <t>To</t>
  </si>
  <si>
    <t>City</t>
  </si>
  <si>
    <t>Pin Code</t>
  </si>
  <si>
    <t>Summary of tax deducted at source</t>
  </si>
  <si>
    <t>Quarter</t>
  </si>
  <si>
    <t xml:space="preserve">Acknowledgement Nos. of all quarterly statement of TDS under sub-section [3] of section 200 </t>
  </si>
  <si>
    <t>Amount of tax deducted in respect of the employee</t>
  </si>
  <si>
    <t>Amount of tax deposited / remitted in respect of the employee</t>
  </si>
  <si>
    <t>PART B (Refer Note I)</t>
  </si>
  <si>
    <t>DETAILS OF SALARY PAID AND ANY OTHER INCOME AND TAX DEDUCTED</t>
  </si>
  <si>
    <t>1.</t>
  </si>
  <si>
    <t>Rs</t>
  </si>
  <si>
    <t>Salary as per provisions contained</t>
  </si>
  <si>
    <t>in section 17(1)</t>
  </si>
  <si>
    <t>Value of perquisites under section</t>
  </si>
  <si>
    <t>17(2) (as per Form No. 12BA,</t>
  </si>
  <si>
    <t>wherever applicable)</t>
  </si>
  <si>
    <t>Profits in lieu of salary under section</t>
  </si>
  <si>
    <t>17(3) (as per Form No. 12BA,</t>
  </si>
  <si>
    <t>5.</t>
  </si>
  <si>
    <t>Income chargeable under the head 'Salaries'</t>
  </si>
  <si>
    <t>Gross Total Income (6+7]</t>
  </si>
  <si>
    <t>9.</t>
  </si>
  <si>
    <t>Fill up Blue Colur</t>
  </si>
  <si>
    <t>Page No. 2</t>
  </si>
  <si>
    <t>DETAILS OF TAX DEDUCTED AND DEPOSITED INTO CENTRAL GOVERNMENT ACCOUNT</t>
  </si>
  <si>
    <t>of</t>
  </si>
  <si>
    <t xml:space="preserve">working in the capacity of </t>
  </si>
  <si>
    <t>[in words] has been deducted at source</t>
  </si>
  <si>
    <t>and paid to the credit of the Central Government. I further certify that the information given above is true</t>
  </si>
  <si>
    <t>and correct base on the books of account, documents and other available records.</t>
  </si>
  <si>
    <t xml:space="preserve">Signature of the person responsible </t>
  </si>
  <si>
    <t>for deduction of tax</t>
  </si>
  <si>
    <t>Full Name</t>
  </si>
  <si>
    <t>(B) other sections (80E, 80G etc.)</t>
  </si>
  <si>
    <t>Conti.. Page no. 3</t>
  </si>
  <si>
    <r>
      <t xml:space="preserve">from income chargeable under the head " </t>
    </r>
    <r>
      <rPr>
        <b/>
        <sz val="11"/>
        <rFont val="Bookman Old Style"/>
        <family val="1"/>
      </rPr>
      <t>Salaries</t>
    </r>
    <r>
      <rPr>
        <sz val="11"/>
        <rFont val="Bookman Old Style"/>
        <family val="1"/>
      </rPr>
      <t xml:space="preserve"> "</t>
    </r>
  </si>
  <si>
    <t>(A)</t>
  </si>
  <si>
    <t>Section 80C, 80CCC and 80CCD</t>
  </si>
  <si>
    <t>Section 80C</t>
  </si>
  <si>
    <t>Education Expenses [Tuition Frees Only][up to 2 children]</t>
  </si>
  <si>
    <t>Gross Amounts</t>
  </si>
  <si>
    <t>Deductible Amount</t>
  </si>
  <si>
    <t>Section 80CCC</t>
  </si>
  <si>
    <t>Section 80CCD</t>
  </si>
  <si>
    <t>(B)</t>
  </si>
  <si>
    <t>Other Sections (e.g. 80E, 80G etc.) Under Chapter VI-A</t>
  </si>
  <si>
    <t>section 80 E</t>
  </si>
  <si>
    <t>section 80 G</t>
  </si>
  <si>
    <t>section 80QQB</t>
  </si>
  <si>
    <t>section 80RRB</t>
  </si>
  <si>
    <t>[iii]</t>
  </si>
  <si>
    <t>[iv]</t>
  </si>
  <si>
    <t>[v]</t>
  </si>
  <si>
    <t>10.</t>
  </si>
  <si>
    <t>Aggregate of deductible amounts under Chapter VI-A</t>
  </si>
  <si>
    <t>Total Income ( 8 - 10)</t>
  </si>
  <si>
    <t>ANNEXURE - A</t>
  </si>
  <si>
    <t xml:space="preserve">Handicapped Allowances </t>
  </si>
  <si>
    <t>Max. Rs. 40000</t>
  </si>
  <si>
    <t>Other Income Sources [ if any ]</t>
  </si>
  <si>
    <t xml:space="preserve">Other Income Sources </t>
  </si>
  <si>
    <t>U/s 80CCC</t>
  </si>
  <si>
    <r>
      <t>Jivan Suraksha premium u/s 80-CCC</t>
    </r>
    <r>
      <rPr>
        <sz val="9"/>
        <rFont val="Bookman Old Style"/>
        <family val="1"/>
      </rPr>
      <t>[Max.Rs.10,000]</t>
    </r>
  </si>
  <si>
    <t>Rebate under Chapter VIII   Under Section 88C</t>
  </si>
  <si>
    <t>Qualifying Amount</t>
  </si>
  <si>
    <t xml:space="preserve">  </t>
  </si>
  <si>
    <t>Investment in Pension Scheme</t>
  </si>
  <si>
    <t>HBA Interest U/S 24(1) (vi)</t>
  </si>
  <si>
    <t>Fill up Sr. No.   9(B) (iv) and 9(B) (v)</t>
  </si>
  <si>
    <t>Max. Rs. 10,000/-</t>
  </si>
  <si>
    <t>Total Income rounded to the nearest Multiple of ten Rupees</t>
  </si>
  <si>
    <t>S.No.</t>
  </si>
  <si>
    <t>Tax Deposited in respect of the employee (Rs.)</t>
  </si>
  <si>
    <t>Book identification number (BIN)</t>
  </si>
  <si>
    <t>Receipt numbers of Form No.24 G</t>
  </si>
  <si>
    <t>DDO Sequence Number in the Book Adjustment Mini Statement</t>
  </si>
  <si>
    <t>clear</t>
  </si>
  <si>
    <t>demo</t>
  </si>
  <si>
    <t>Please fill Manually " DETAILS OF TAX DEDUCTED AND DEPOSITED IN CENTRAL GOV. ACCOUNT</t>
  </si>
  <si>
    <t xml:space="preserve">  /  </t>
  </si>
  <si>
    <t>નોંધ :</t>
  </si>
  <si>
    <t>Disability</t>
  </si>
  <si>
    <t>Person with Disability  U/S 80-U</t>
  </si>
  <si>
    <t>%</t>
  </si>
  <si>
    <t>3rd QUARTER</t>
  </si>
  <si>
    <t>4th QUARTER</t>
  </si>
  <si>
    <t>1st QUARTER</t>
  </si>
  <si>
    <t>2nd QUARTER</t>
  </si>
  <si>
    <t>Income Tax Bhavan</t>
  </si>
  <si>
    <t>Term deposit for a fixed period (Bank Term Deposit Scheme, 2006)</t>
  </si>
  <si>
    <r>
      <t xml:space="preserve">Fill up Details  </t>
    </r>
    <r>
      <rPr>
        <b/>
        <sz val="11"/>
        <color indexed="12"/>
        <rFont val="Bookman Old Style"/>
        <family val="1"/>
      </rPr>
      <t>Blue</t>
    </r>
    <r>
      <rPr>
        <b/>
        <sz val="11"/>
        <color indexed="10"/>
        <rFont val="Bookman Old Style"/>
        <family val="1"/>
      </rPr>
      <t xml:space="preserve"> Colur Marked</t>
    </r>
  </si>
  <si>
    <t>Tax Credited Bank Name</t>
  </si>
  <si>
    <t>DD/MM/YYYY</t>
  </si>
  <si>
    <t>NSC or Other Investment</t>
  </si>
  <si>
    <t>8/111</t>
  </si>
  <si>
    <t>Various Colony</t>
  </si>
  <si>
    <t>Near SBI Staff Qtrs</t>
  </si>
  <si>
    <t>Sunset Point Road</t>
  </si>
  <si>
    <t>29/01/1961</t>
  </si>
  <si>
    <t>Dangs District Panchayat Ahwa</t>
  </si>
  <si>
    <t>Ahwa</t>
  </si>
  <si>
    <t>Valsad Income Tax Bhavan</t>
  </si>
  <si>
    <t>Dharmpur Road</t>
  </si>
  <si>
    <t>SENIOR CITIZEN</t>
  </si>
  <si>
    <t>General Tax Payee</t>
  </si>
  <si>
    <t>Senior Citizen Tax Payee</t>
  </si>
  <si>
    <t>Rs. 2,50,000</t>
  </si>
  <si>
    <t>Rs. 2,50,001 to Rs. 5,00,000</t>
  </si>
  <si>
    <t>Rs. 5,00,000 to Rs. 10,00,000</t>
  </si>
  <si>
    <t>Above Rs. 10,00,000</t>
  </si>
  <si>
    <t>IF(AND(AG3="M",AI43&lt;=180000),0,IF(AND('Other Deails'!B19=6,AI43&lt;=190000),0,IF(AND(AG3="M",AI43&lt;=500000),ROUND((AI43-160000)*10%,0),IF(AND('Other Deails'!B19=6,AI43&lt;=500000),ROUND((AI43-190000)*10%,0),IF(AND(AG3="M",AI43&lt;=800000),34000+ROUND((AI43-500000)*20%,0),IF(AND('Other Deails'!B19=6,AI43&lt;=800000),31000+ROUND((AI43-500000)*20%,0),IF(AND(AG3="M",AI43&gt;=800000),94000+ROUND((AI43-800000)*30%,0),91000+ROUND((AI43-800000)*30%,0))))))))</t>
  </si>
  <si>
    <t>Back To Main Page</t>
  </si>
  <si>
    <t>Leave Encashment</t>
  </si>
  <si>
    <t>Tuition Fees [For the purpose of full-time education of any two children of the employee.]</t>
  </si>
  <si>
    <t xml:space="preserve"> No Limit</t>
  </si>
  <si>
    <t xml:space="preserve"> Max. 100%</t>
  </si>
  <si>
    <t xml:space="preserve"> Max. 50%</t>
  </si>
  <si>
    <t xml:space="preserve"> Max. 40%</t>
  </si>
  <si>
    <t>Account No.   e.g.</t>
  </si>
  <si>
    <t>PART A</t>
  </si>
  <si>
    <t>ANNEXURE - B</t>
  </si>
  <si>
    <t xml:space="preserve"> DETAILS OF TAX DEDUCTED AND DEPOSITED IN THE CENTRAL GOVERNMENT ACCOUNT THROUGH CHALLAN 
(The Employer to provide payment wise details of tax deducted and deposited with respect to the Employee)</t>
  </si>
  <si>
    <t>Challn identification number (BIN)</t>
  </si>
  <si>
    <t>BSR Code of the Bank Branch</t>
  </si>
  <si>
    <t>Date on which tax deposited
(dd/mm/yyyy)</t>
  </si>
  <si>
    <t>Chllan Serial Number</t>
  </si>
  <si>
    <t>Note :</t>
  </si>
  <si>
    <t>In the column for TDS, give total amount for TDS, Surcharge (if applicable) and education cess.</t>
  </si>
  <si>
    <t>Date on which tax deposited 
(dd/mm/yyyy)</t>
  </si>
  <si>
    <t>2.A</t>
  </si>
  <si>
    <t>2.B</t>
  </si>
  <si>
    <t>Mediclame</t>
  </si>
  <si>
    <t xml:space="preserve">Mediclame </t>
  </si>
  <si>
    <t>Mediclame of Employees or his Family</t>
  </si>
  <si>
    <t>Mediclame of Parent or Parents of employee</t>
  </si>
  <si>
    <t>+5000 Senior Citizen</t>
  </si>
  <si>
    <t>If you have taken Loan, Pl. write amount of Interest</t>
  </si>
  <si>
    <t>Grade Pay</t>
  </si>
  <si>
    <t>Max. deduction of Rs. 10000 U/s 35CCA</t>
  </si>
  <si>
    <t>Max. deduction of Rs. 10000 U/s 80TTA</t>
  </si>
  <si>
    <r>
      <t xml:space="preserve">Have you drawn Loan for HBA before 1:4:1999? or after, </t>
    </r>
    <r>
      <rPr>
        <b/>
        <sz val="10"/>
        <color indexed="10"/>
        <rFont val="Bookman Old Style"/>
        <family val="1"/>
      </rPr>
      <t xml:space="preserve">Write Date </t>
    </r>
  </si>
  <si>
    <t>Investment in Rajiv Gandhi Equity Saving Scheme (RGESS) (80 CCG)</t>
  </si>
  <si>
    <t>Investment in (RGESS) (80 CCG) Deducation Can not Exceed Rs. 25000/-</t>
  </si>
  <si>
    <t>Total U/s 80 C + Rs. 25000 U/s 80 CCG</t>
  </si>
  <si>
    <t>F. P. Pay</t>
  </si>
  <si>
    <t>Other Allowances</t>
  </si>
  <si>
    <t>Any Other Deduction</t>
  </si>
  <si>
    <t>9300-34800(PB2) 4200</t>
  </si>
  <si>
    <t>House Rent Allow.</t>
  </si>
  <si>
    <t>Retrenchment Compensation</t>
  </si>
  <si>
    <t>Agricultural Income</t>
  </si>
  <si>
    <t>[h]</t>
  </si>
  <si>
    <t>[j]</t>
  </si>
  <si>
    <t>[k]</t>
  </si>
  <si>
    <t>Retirement Gratuity</t>
  </si>
  <si>
    <t>Leave Salary in Retirement</t>
  </si>
  <si>
    <t>Taxable Amt.</t>
  </si>
  <si>
    <t>Amounts</t>
  </si>
  <si>
    <t>U/s 10(10) Max. Ded. Rs. 10 lakhs</t>
  </si>
  <si>
    <t>U/s 10(10AA) Ded. Max. Rs. 3 lakhs</t>
  </si>
  <si>
    <t>U/s 10(10B) Ded. Max. Rs. 5 lakhs</t>
  </si>
  <si>
    <t>U/s Section 10(1) Ded. Max. 5000</t>
  </si>
  <si>
    <t>Very Senior Citizen &gt; 80 years</t>
  </si>
  <si>
    <t>Senior Citizen &gt; 60 years</t>
  </si>
  <si>
    <t>Women</t>
  </si>
  <si>
    <t>Men</t>
  </si>
  <si>
    <t>/* This is the Working Area and should be hidden/*</t>
  </si>
  <si>
    <t>Copyright © CA Diary</t>
  </si>
  <si>
    <t>Downloaded from cadiary.org</t>
  </si>
  <si>
    <t>Net Tax Payable</t>
  </si>
  <si>
    <t>Higher Education Cess</t>
  </si>
  <si>
    <t>Educational Cess</t>
  </si>
  <si>
    <t>Tax Payable</t>
  </si>
  <si>
    <t>Rebate on Agricultural Income</t>
  </si>
  <si>
    <t>Agricultural Income + Basic Exemption Limit</t>
  </si>
  <si>
    <t>Income other than from Agriculture</t>
  </si>
  <si>
    <t>Tax on Total Income</t>
  </si>
  <si>
    <t>Total Income</t>
  </si>
  <si>
    <t>Status</t>
  </si>
  <si>
    <t>Detailed Calculation For Educational Purpose</t>
  </si>
  <si>
    <t>Tax on Agricultural Income Calculator</t>
  </si>
  <si>
    <t>Less: Rebate on Agricultural Income</t>
  </si>
  <si>
    <t>Annexure - A  B માં વિગતો જાતે ભરવાની છે. (ફોર્મ નંબર : ૧૬ ના પાના નંબર :૧ માં ત્રિમાસિકની ઇન્કમટેક્ષની વિગતો દર્શાવવી)</t>
  </si>
  <si>
    <t>Son</t>
  </si>
  <si>
    <t>Daughter</t>
  </si>
  <si>
    <t>GENERAL</t>
  </si>
  <si>
    <t>Tax on total income</t>
  </si>
  <si>
    <t>NO.13</t>
  </si>
  <si>
    <t>Credit</t>
  </si>
  <si>
    <r>
      <t xml:space="preserve">Without PayBill    </t>
    </r>
    <r>
      <rPr>
        <b/>
        <sz val="10"/>
        <rFont val="Bookman Old Style"/>
        <family val="1"/>
      </rPr>
      <t>LIC</t>
    </r>
  </si>
  <si>
    <t>Without PayBill HBA Repayment</t>
  </si>
  <si>
    <t>Without PayBill    PLI</t>
  </si>
  <si>
    <t>N S C</t>
  </si>
  <si>
    <t>Education Loan Interest</t>
  </si>
  <si>
    <t>Detail of investment made / to be made during financial year 2014-2015 which is classed as qualifying u/s 80 C Income Tax Act (Xerox Copy enclosed)</t>
  </si>
  <si>
    <t>Rs. 3,00,000</t>
  </si>
  <si>
    <t>Rs. 3,00,001 to Rs. 5,00,000</t>
  </si>
  <si>
    <t>U/s 80CCD</t>
  </si>
  <si>
    <t>Less : Deduction U/S 80 C [ Max. Rs. 1,50,000/-</t>
  </si>
  <si>
    <t>Aggregate Amount deductible U/s 80C, 80CCC, 80CCD Rs. 1,50,000/-</t>
  </si>
  <si>
    <t>Total U/s 80 C Max.. Amt. Max. Rs. 1,50,000/-</t>
  </si>
  <si>
    <t>Jivan Suraksha premium u/s 80-CCE</t>
  </si>
  <si>
    <t>Section 80QQB</t>
  </si>
  <si>
    <t>Section 80RRB</t>
  </si>
  <si>
    <t>Rs. 3 lacs or the income received, whichever is less.</t>
  </si>
  <si>
    <t xml:space="preserve">(Employers Contribution) </t>
  </si>
  <si>
    <t xml:space="preserve">(Employee Contribution) </t>
  </si>
  <si>
    <t>Total ( a to p ) &amp; U/s 80 CCG Rs. 1,75,000/-</t>
  </si>
  <si>
    <t>NPS Contribution</t>
  </si>
  <si>
    <t>Section 80CCD(I)  NPS Contribution</t>
  </si>
  <si>
    <t>Section 80CCD(II) NPS Contribution</t>
  </si>
  <si>
    <t>GPF (Without NPS)</t>
  </si>
  <si>
    <t>Investment in (RGESS) (80 CCG) not Exceed Rs. 25000/-</t>
  </si>
  <si>
    <t>Sections 80C, 80CCC &amp; Section 80CCD(1) shall not exceed Rs.150000/-.</t>
  </si>
  <si>
    <t>94278 70846</t>
  </si>
  <si>
    <t>Imrankhan</t>
  </si>
  <si>
    <r>
      <t xml:space="preserve">ત્રણ વર્ષની અંદર કબજો અને દસ્તાવેજ મેળવેલ છે. હા / ના </t>
    </r>
    <r>
      <rPr>
        <sz val="10"/>
        <color indexed="8"/>
        <rFont val="Bookman Old Style"/>
        <family val="1"/>
      </rPr>
      <t>?</t>
    </r>
  </si>
  <si>
    <t>Yes</t>
  </si>
  <si>
    <t>No</t>
  </si>
  <si>
    <t xml:space="preserve">Govt. Employee </t>
  </si>
  <si>
    <r>
      <t xml:space="preserve">તા. ૦૧/૦૪/૨૦૧૪ પહેલા મકાન લોન લીધેલ હોય અને ત્રણ વર્ષની અંદર મકાનનો કબજો અને દસ્તાવેજ મેળવેલ હોય તો ચાલુ નાણાંકીય વર્ષમાં રૂ. ૨,૦૦,૦૦૦/- સુધી મકાન લોનનું વ્યાજ કરમુકત છે. (પગાર કરતાં અધિકારીશ્રીનું પ્રમાણપત્ર સામેલ કરવું ફરજીયાત છે. [Section 24(b)] મુજબ)                </t>
    </r>
    <r>
      <rPr>
        <b/>
        <sz val="10"/>
        <rFont val="Bookman Old Style"/>
        <family val="1"/>
      </rPr>
      <t>નહીંતર રૂ. ૧,૫૦,૦૦૦/- વ્યાજ કરમુકત છે.</t>
    </r>
  </si>
  <si>
    <t>Click here to  VIEW &amp; Fill up 16's Annexure A</t>
  </si>
  <si>
    <t>With Condition Up to Rs. 2,00,000/- can taken after Dt.1/4/99</t>
  </si>
  <si>
    <t>Voucher Number</t>
  </si>
  <si>
    <t>97260 61261</t>
  </si>
  <si>
    <t xml:space="preserve">Account Officer </t>
  </si>
  <si>
    <t>Medical Treatment on Serious diseases  
U/S 80-DDB (Max. Rs. 40,000)</t>
  </si>
  <si>
    <t>U/S 80-DDB</t>
  </si>
  <si>
    <t xml:space="preserve">Medical Treatment of Handicapped Dependents 80DD
</t>
  </si>
  <si>
    <t>Max. Rs. 75000</t>
  </si>
  <si>
    <t xml:space="preserve">SAVINGS/CURRENT </t>
  </si>
  <si>
    <t>Account Type   e.g.</t>
  </si>
  <si>
    <t>SAVING</t>
  </si>
  <si>
    <t>Back IFSC Code   e.g.</t>
  </si>
  <si>
    <t>SBIN0006955</t>
  </si>
  <si>
    <t>Other Details of Bank Account</t>
  </si>
  <si>
    <t xml:space="preserve">ICICI </t>
  </si>
  <si>
    <t>ICIC0001395</t>
  </si>
  <si>
    <t>Max. Rs. 25000</t>
  </si>
  <si>
    <t>Med. claim u/s 80-d [Max. Rs. 25,000/-] Emp. &amp; His Family</t>
  </si>
  <si>
    <t>Med. claim u/s 80-d [Max. Rs. 25,000/-] Parent of Emp .</t>
  </si>
  <si>
    <t>Percentage of Disability 40 to 80% or Above 80%</t>
  </si>
  <si>
    <t>Max. Above 80% Rs. 1,25,000/-</t>
  </si>
  <si>
    <t>Max. 40% to 80% Rs. 75,000/-</t>
  </si>
  <si>
    <t>Rs. 10,000/- who's taxable Income below Rs. 5 Lakh</t>
  </si>
  <si>
    <t>SRTD01139F</t>
  </si>
  <si>
    <t>ULIP / Infrastructure bonds</t>
  </si>
  <si>
    <t>Accounts Officer D P Dangs</t>
  </si>
  <si>
    <r>
      <t xml:space="preserve">Chetan Patil (B)9408648898 </t>
    </r>
    <r>
      <rPr>
        <b/>
        <sz val="12"/>
        <color indexed="10"/>
        <rFont val="Bookman Old Style"/>
        <family val="1"/>
      </rPr>
      <t>(I)9426863556</t>
    </r>
  </si>
  <si>
    <r>
      <t xml:space="preserve">Kirit Patel (B)9426494422 </t>
    </r>
    <r>
      <rPr>
        <b/>
        <sz val="12"/>
        <color indexed="10"/>
        <rFont val="Bookman Old Style"/>
        <family val="1"/>
      </rPr>
      <t>(R)9426494482</t>
    </r>
  </si>
  <si>
    <t>Page set 8.00 x 13.50 Size or A4 Size ( Portrait ) for Print</t>
  </si>
  <si>
    <r>
      <t xml:space="preserve">Page set 8.00 x 13.50 Size or A4 Size ( Portrait ) for Print    </t>
    </r>
    <r>
      <rPr>
        <b/>
        <sz val="12"/>
        <color indexed="12"/>
        <rFont val="Bookman Old Style"/>
        <family val="1"/>
      </rPr>
      <t>ફોર્મ-૧૬ની જરૂરીયાત એપ્રીલ માસમાં રહેશે.</t>
    </r>
  </si>
  <si>
    <r>
      <t xml:space="preserve">Dilip Baria (R)7016223548 </t>
    </r>
    <r>
      <rPr>
        <b/>
        <sz val="12"/>
        <color indexed="10"/>
        <rFont val="Bookman Old Style"/>
        <family val="1"/>
      </rPr>
      <t>(V)9909909514</t>
    </r>
  </si>
  <si>
    <t>d</t>
  </si>
  <si>
    <t>Equity Shares or Debentures (Subject to a limit of Rs.1,50,000/-)</t>
  </si>
  <si>
    <r>
      <t xml:space="preserve">What changes in this version :   Equity Shares or Debentures </t>
    </r>
    <r>
      <rPr>
        <b/>
        <sz val="12"/>
        <rFont val="Bookman Old Style"/>
        <family val="1"/>
      </rPr>
      <t>(Section 80C)</t>
    </r>
    <r>
      <rPr>
        <b/>
        <sz val="10"/>
        <rFont val="Bookman Old Style"/>
        <family val="1"/>
      </rPr>
      <t xml:space="preserve"> (Subject to a limit of Rs.1,50,000/-)     </t>
    </r>
  </si>
  <si>
    <t xml:space="preserve">તા. ૦૧/૦૪/૨૦૧૪ પહેલા મકાન લોન લીધેલ હોય અને ત્રણ વર્ષની અંદર મકાનનો કબજો અને દસ્તાવેજ મેળવેલ હોય તો ચાલુ નાણાંકીય વર્ષમાં રૂ. ૨,૦૦,૦૦૦/- સુધી મકાન લોનનું વ્યાજ કરમુકત છે. (પગાર કરતાં અધિકારીશ્રીનું પ્રમાણપત્ર સામેલ કરવું ફરજીયાત છે. [Section 24(b)] મુજબ) </t>
  </si>
  <si>
    <t>Click here for fill up Earning- Salary</t>
  </si>
  <si>
    <t xml:space="preserve">Click here for fill up Other than Salary Income </t>
  </si>
  <si>
    <t>Click here for fill up Investment - Deduction</t>
  </si>
  <si>
    <t>Other Salary Income</t>
  </si>
  <si>
    <t>V. No :</t>
  </si>
  <si>
    <t>Dearness allowance</t>
  </si>
  <si>
    <t xml:space="preserve">Charge Allowance </t>
  </si>
  <si>
    <t>Leave Encashment For LTC</t>
  </si>
  <si>
    <t>ત્રણ વર્ષની અંદર કબજો અને દસ્તાવેજ મેળવેલ છે. હા / ના ?</t>
  </si>
  <si>
    <t>Detail of investment made / to be made during financial year which is classed as qualifying u/s 80 C Income Tax Act (Xerox Copy enclosed)</t>
  </si>
  <si>
    <t>Investment in Pension Scheme  U/s 80CCC</t>
  </si>
  <si>
    <t>Pay Arrears</t>
  </si>
  <si>
    <t>Click here for fill up Master Details</t>
  </si>
  <si>
    <t>SOCIETY</t>
  </si>
  <si>
    <t>Before preparing Income Tax Calculation Memo, Please fill up first, "Master Details" &amp; then "Earning - Salary, Other Than Salary Income &amp; Investment - Deduction" by doing this all forms will be prepared automatically</t>
  </si>
  <si>
    <t>Section 80 GG / Section 80 GGA / 80GGGB</t>
  </si>
  <si>
    <t xml:space="preserve">Section 80CCD(2)  NPS Contribution (Maximum up to 10% of Salary) (Employee Contribution) </t>
  </si>
  <si>
    <t>Section 80CCD(1B) Invest in Nation Pension Scheme (Maximum up to 50000)</t>
  </si>
  <si>
    <t>Section 80CCD(2) NPS Contribution Employee's &amp; Employer</t>
  </si>
  <si>
    <t xml:space="preserve">Pay Deducation </t>
  </si>
  <si>
    <t>Deposit in 10 Year, 15 Years 
Account Under the Post Office Saving (CTD) / RD</t>
  </si>
  <si>
    <r>
      <t xml:space="preserve">C K Sonawane, </t>
    </r>
    <r>
      <rPr>
        <b/>
        <sz val="10"/>
        <color indexed="12"/>
        <rFont val="Bookman Old Style"/>
        <family val="1"/>
      </rPr>
      <t>IFS</t>
    </r>
    <r>
      <rPr>
        <b/>
        <sz val="14"/>
        <color indexed="12"/>
        <rFont val="Bookman Old Style"/>
        <family val="1"/>
      </rPr>
      <t xml:space="preserve">     </t>
    </r>
    <r>
      <rPr>
        <b/>
        <sz val="14"/>
        <color indexed="10"/>
        <rFont val="Bookman Old Style"/>
        <family val="1"/>
      </rPr>
      <t>CCF Surat Circle</t>
    </r>
  </si>
  <si>
    <r>
      <t xml:space="preserve">Investment in pension fund &amp; </t>
    </r>
    <r>
      <rPr>
        <b/>
        <sz val="10"/>
        <color indexed="12"/>
        <rFont val="Bookman Old Style"/>
        <family val="1"/>
      </rPr>
      <t>ELSS U/s 80C</t>
    </r>
  </si>
  <si>
    <t>LIC Premium / PLI Premium</t>
  </si>
  <si>
    <t>Any Other Deduction U/s 80C</t>
  </si>
  <si>
    <t>Raja Pagar/Over Time</t>
  </si>
  <si>
    <t>s</t>
  </si>
  <si>
    <t>Add: Health and Education Cess @ 4% on Payable Income Tax Amount</t>
  </si>
  <si>
    <t>Ratilal Balubhai Choudhari</t>
  </si>
  <si>
    <t>Balubhai Choudhari</t>
  </si>
  <si>
    <t>Total Income (4-5)</t>
  </si>
  <si>
    <t>Gross Total Income ( 6 - 8 )</t>
  </si>
  <si>
    <t>Net Taxable Total Income [ 9 - 11 ]</t>
  </si>
  <si>
    <t>VIII</t>
  </si>
  <si>
    <t>D A Difference</t>
  </si>
  <si>
    <t>Salary Difference</t>
  </si>
  <si>
    <t>Dangs Allow. / CLA</t>
  </si>
  <si>
    <t>NPS ( Any Arrears )</t>
  </si>
  <si>
    <t>GPF (D A Difference)</t>
  </si>
  <si>
    <t>G.P.F. ADV</t>
  </si>
  <si>
    <t>(50000 Senior Citizen)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</si>
  <si>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</si>
  <si>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</si>
  <si>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</si>
  <si>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</si>
  <si>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</si>
  <si>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</si>
  <si>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</si>
  <si>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</si>
  <si>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</si>
  <si>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</si>
  <si>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</si>
  <si>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</si>
  <si>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</si>
  <si>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</si>
  <si>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Transportation allowance</t>
  </si>
  <si>
    <t>Permanent Travel Allowance</t>
  </si>
  <si>
    <t>Entertainment allowance section 16(ii)</t>
  </si>
  <si>
    <t>Transportation allowance Section 10(14)(ii)</t>
  </si>
  <si>
    <t>Deductions under Section</t>
  </si>
  <si>
    <t xml:space="preserve">  Add. Any other Income reported by the employee</t>
  </si>
  <si>
    <t>3</t>
  </si>
  <si>
    <t>Any Other Deducaton</t>
  </si>
  <si>
    <t>Total : 3 (a) to (g)</t>
  </si>
  <si>
    <t>6</t>
  </si>
  <si>
    <t>Select Senior Citizen / GENERAL</t>
  </si>
  <si>
    <t>NO</t>
  </si>
  <si>
    <t>Are you Physically Handicapped ? Yes / No</t>
  </si>
  <si>
    <t>(5)</t>
  </si>
  <si>
    <t>(7)</t>
  </si>
  <si>
    <t>(j)</t>
  </si>
  <si>
    <t>Total : 3 (h) to (j)</t>
  </si>
  <si>
    <t>Balance  (1+ (1.a to 1.k)) - 2(Standard deduction)</t>
  </si>
  <si>
    <t>Balance [ 3-3A ]</t>
  </si>
  <si>
    <t>3A</t>
  </si>
  <si>
    <t>Less: 'Standard deduction under section 16 (ia)</t>
  </si>
  <si>
    <t>1A.</t>
  </si>
  <si>
    <t>Total : 1 + 1A</t>
  </si>
  <si>
    <t>Allowance to the extent exempt under section 10</t>
  </si>
  <si>
    <t>Annual allowance (For Doctor) / Washing allowance</t>
  </si>
  <si>
    <r>
      <t>Less:</t>
    </r>
    <r>
      <rPr>
        <b/>
        <sz val="10"/>
        <color indexed="63"/>
        <rFont val="Bookman Old Style"/>
        <family val="1"/>
      </rPr>
      <t xml:space="preserve"> Tax Credit (Available only to assessees having total taxable income upto Rs. 5 lacs) u/s 87A</t>
    </r>
  </si>
  <si>
    <t>A / 27</t>
  </si>
  <si>
    <t xml:space="preserve">Behind Basil School &amp; Kanha Residency, </t>
  </si>
  <si>
    <t xml:space="preserve">Shreeji Tenament, </t>
  </si>
  <si>
    <t>Maretha Village, Maneja,</t>
  </si>
  <si>
    <t>Vadodara</t>
  </si>
  <si>
    <t>Accounts Officer</t>
  </si>
  <si>
    <t>Retired PS 2 DDO Dangs</t>
  </si>
  <si>
    <t>Retired PS to DDO Dangs</t>
  </si>
  <si>
    <r>
      <t xml:space="preserve">Deepak Luhar, </t>
    </r>
    <r>
      <rPr>
        <b/>
        <sz val="12"/>
        <color indexed="10"/>
        <rFont val="Bookman Old Style"/>
        <family val="1"/>
      </rPr>
      <t>Treasury officer (Class I) Baroda</t>
    </r>
  </si>
  <si>
    <t>[l]</t>
  </si>
  <si>
    <t>K</t>
  </si>
  <si>
    <t>Family Pension</t>
  </si>
  <si>
    <t>એવરેજ ટેક્ષ</t>
  </si>
  <si>
    <t>એવરજ ભરપાઇ</t>
  </si>
  <si>
    <t>ભરેલ ટેક્ષ</t>
  </si>
  <si>
    <t>વ્યાજ ભરપાઇ ૧.૫</t>
  </si>
  <si>
    <t xml:space="preserve">એવરજે ઓછો </t>
  </si>
  <si>
    <t>Delay in filing of Tax Returns - (Section 234(A))</t>
  </si>
  <si>
    <t>Sumptuary allowance</t>
  </si>
  <si>
    <t>Leave travel concession</t>
  </si>
  <si>
    <t>ભરેલ દંડકીય વ્યાજ</t>
  </si>
  <si>
    <t xml:space="preserve">Total Tax Paid Till January </t>
  </si>
  <si>
    <t>Total Tax Inculding Delay in filing of Tax Returns</t>
  </si>
  <si>
    <r>
      <t>Standard deduction under section 16 (ia) (</t>
    </r>
    <r>
      <rPr>
        <b/>
        <sz val="8"/>
        <rFont val="Bookman Old Style"/>
        <family val="1"/>
      </rPr>
      <t>A Deduction of Rs.50000 or the amount of salary whichever is less shall be allowed as standard deduction)</t>
    </r>
  </si>
  <si>
    <t xml:space="preserve">Total [b] to [k] </t>
  </si>
  <si>
    <t>Sumptuary Allowance (U/s 10(45)) / LTC  (U/s 10(5))</t>
  </si>
  <si>
    <r>
      <t xml:space="preserve">Permanent Travel Allowance (U/s 10[14][I]) </t>
    </r>
    <r>
      <rPr>
        <b/>
        <sz val="10"/>
        <color indexed="8"/>
        <rFont val="Bookman Old Style"/>
        <family val="1"/>
      </rPr>
      <t>Not Exempted</t>
    </r>
  </si>
  <si>
    <t>Page set 8.00 x 13.50 Size or A4 Size ( Landscape ) for Print</t>
  </si>
  <si>
    <t>NO.14</t>
  </si>
  <si>
    <t>Total Tax Payable [ 16+17+18 ]</t>
  </si>
  <si>
    <t>After Rebate Payable Income Tax Amount</t>
  </si>
  <si>
    <t>Health 4%</t>
  </si>
  <si>
    <t xml:space="preserve"> Based on Financial Year</t>
  </si>
  <si>
    <t>Honorarium, Bonus, Bank NSC Interest, House Rent Income</t>
  </si>
  <si>
    <t>Honorarium, Bonus, Bank NSC Interest, House Rent Income, etc</t>
  </si>
  <si>
    <t>Add: Surcharge</t>
  </si>
  <si>
    <t>Total Tax Payable [ 13+14+15 ]</t>
  </si>
  <si>
    <t>(designation) do hereby certify that a sum of Rupees</t>
  </si>
  <si>
    <r>
      <t xml:space="preserve">First make a file by Save As a Employee's Name whose data is you are going to be fill up &amp; then please fill up only those cells whose color is </t>
    </r>
    <r>
      <rPr>
        <b/>
        <sz val="10"/>
        <color indexed="12"/>
        <rFont val="Bookman Old Style"/>
        <family val="1"/>
      </rPr>
      <t>blue</t>
    </r>
    <r>
      <rPr>
        <b/>
        <sz val="10"/>
        <color indexed="13"/>
        <rFont val="Bookman Old Style"/>
        <family val="1"/>
      </rPr>
      <t xml:space="preserve"> or </t>
    </r>
    <r>
      <rPr>
        <b/>
        <sz val="10"/>
        <color indexed="12"/>
        <rFont val="Bookman Old Style"/>
        <family val="1"/>
      </rPr>
      <t>blue '  0</t>
    </r>
    <r>
      <rPr>
        <b/>
        <sz val="10"/>
        <color indexed="13"/>
        <rFont val="Bookman Old Style"/>
        <family val="1"/>
      </rPr>
      <t xml:space="preserve"> ' in Master Details &amp;  Other Statement by making different files of employees will be helpful for Form No. 16 &amp; Form SAHAJ (IRT-V) as future reference.</t>
    </r>
  </si>
  <si>
    <t>Max. deduction of Rs. 10000 U/s 80TTA, 50000 U/s 80TTB</t>
  </si>
  <si>
    <t>[a], [b], [c] which ever is less</t>
  </si>
  <si>
    <r>
      <t xml:space="preserve">If there is any mistake in </t>
    </r>
    <r>
      <rPr>
        <b/>
        <sz val="10"/>
        <color indexed="14"/>
        <rFont val="Bookman Old Style"/>
        <family val="1"/>
      </rPr>
      <t xml:space="preserve">Details Salary / Income Tax Calculation Memo / From No. 16 </t>
    </r>
    <r>
      <rPr>
        <b/>
        <sz val="10"/>
        <color indexed="12"/>
        <rFont val="Bookman Old Style"/>
        <family val="1"/>
      </rPr>
      <t>please contact t</t>
    </r>
    <r>
      <rPr>
        <b/>
        <sz val="10"/>
        <rFont val="Bookman Old Style"/>
        <family val="1"/>
      </rPr>
      <t xml:space="preserve">o </t>
    </r>
    <r>
      <rPr>
        <b/>
        <sz val="10"/>
        <color indexed="12"/>
        <rFont val="Bookman Old Style"/>
        <family val="1"/>
      </rPr>
      <t>Kirit Patel</t>
    </r>
    <r>
      <rPr>
        <b/>
        <sz val="10"/>
        <rFont val="Bookman Old Style"/>
        <family val="1"/>
      </rPr>
      <t xml:space="preserve">  mrkiritpatel@gmail.com /</t>
    </r>
    <r>
      <rPr>
        <b/>
        <sz val="10"/>
        <color indexed="10"/>
        <rFont val="Bookman Old Style"/>
        <family val="1"/>
      </rPr>
      <t xml:space="preserve"> </t>
    </r>
    <r>
      <rPr>
        <b/>
        <sz val="10"/>
        <color indexed="12"/>
        <rFont val="Bookman Old Style"/>
        <family val="1"/>
      </rPr>
      <t xml:space="preserve">Dilip Baria </t>
    </r>
    <r>
      <rPr>
        <b/>
        <sz val="10"/>
        <rFont val="Bookman Old Style"/>
        <family val="1"/>
      </rPr>
      <t>dpbaria@gmail.com</t>
    </r>
    <r>
      <rPr>
        <b/>
        <sz val="10"/>
        <color indexed="12"/>
        <rFont val="Bookman Old Style"/>
        <family val="1"/>
      </rPr>
      <t xml:space="preserve"> / Chetan Patil </t>
    </r>
    <r>
      <rPr>
        <b/>
        <sz val="10"/>
        <rFont val="Bookman Old Style"/>
        <family val="1"/>
      </rPr>
      <t xml:space="preserve">chenspatil@gmail.com 
or </t>
    </r>
    <r>
      <rPr>
        <b/>
        <sz val="10"/>
        <color indexed="12"/>
        <rFont val="Bookman Old Style"/>
        <family val="1"/>
      </rPr>
      <t>Imran Bagwan</t>
    </r>
    <r>
      <rPr>
        <b/>
        <sz val="10"/>
        <rFont val="Bookman Old Style"/>
        <family val="1"/>
      </rPr>
      <t xml:space="preserve"> imu20593@gmail.com</t>
    </r>
  </si>
  <si>
    <t>Rs. 5,00,000 to Rs. 7,50,000</t>
  </si>
  <si>
    <t>Rs. 7,50,000 to Rs. 10,00,000</t>
  </si>
  <si>
    <t>Rs. 10,00,000 to Rs. 12,50,000</t>
  </si>
  <si>
    <t>Rs. 12,50,000 to Rs. 15,00,000</t>
  </si>
  <si>
    <t>Above Rs. 15,00,000</t>
  </si>
  <si>
    <r>
      <t xml:space="preserve">Section 80CCD(2) NPS Contribution (Maximum up to 10% of Salary) </t>
    </r>
    <r>
      <rPr>
        <b/>
        <sz val="8"/>
        <rFont val="Bookman Old Style"/>
        <family val="1"/>
      </rPr>
      <t xml:space="preserve">(Govt. Contribution) </t>
    </r>
  </si>
  <si>
    <r>
      <t>Standard deduction under section 16 (ia) (</t>
    </r>
    <r>
      <rPr>
        <b/>
        <sz val="8"/>
        <rFont val="Bookman Old Style"/>
        <family val="1"/>
      </rPr>
      <t>A Deduction of Rs.50000 Not Examted)</t>
    </r>
  </si>
  <si>
    <t>Gross Total Income (1+ (1.a to 1.k)) - 2(Standard deduction)</t>
  </si>
  <si>
    <t xml:space="preserve">Sec. 80CCD(2) NPS Contribution (Max. 10% of Salary) (Govt. Contribution) </t>
  </si>
  <si>
    <t xml:space="preserve">Less : Deduction </t>
  </si>
  <si>
    <t>Net Taxable Total Income [3 - 4 ] rounded to Multiple of ten Rupees</t>
  </si>
  <si>
    <t>Total Tax</t>
  </si>
  <si>
    <t>Taxable Amt</t>
  </si>
  <si>
    <t>Tax Amt</t>
  </si>
  <si>
    <t>Rate</t>
  </si>
  <si>
    <t>Gross Total Income: 1 + 1A</t>
  </si>
  <si>
    <t>Tax to be deducted in February</t>
  </si>
  <si>
    <t>Total Tax Payable</t>
  </si>
  <si>
    <t>Salary as per provisions contained in section 17(1)</t>
  </si>
  <si>
    <t>Value of perquisites under section 17(2) (as per Form No. 12BA,</t>
  </si>
  <si>
    <t>Profits in lieu of salary under section 17(3) (as per Form No. 12BA,</t>
  </si>
  <si>
    <t>Click here to VIEW ITax Calculation (Old) Statement</t>
  </si>
  <si>
    <t xml:space="preserve">FORM 16_1 </t>
  </si>
  <si>
    <t xml:space="preserve">Click to VIEW  Old </t>
  </si>
  <si>
    <t>FORM 16_2</t>
  </si>
  <si>
    <t>Click here to VIEW ITax Calculation (New) Statement</t>
  </si>
  <si>
    <t>Click here to  VIEW FORM 16 (NEW)</t>
  </si>
  <si>
    <t>IX</t>
  </si>
  <si>
    <t xml:space="preserve">Family pension, a standard deduction </t>
  </si>
  <si>
    <t xml:space="preserve">Add: Surcharge </t>
  </si>
  <si>
    <t xml:space="preserve">Leave Salary in Retirement Govt. Employee </t>
  </si>
  <si>
    <r>
      <t xml:space="preserve">Total Tax Payable </t>
    </r>
    <r>
      <rPr>
        <b/>
        <sz val="10"/>
        <rFont val="Bookman Old Style"/>
        <family val="1"/>
      </rPr>
      <t>[ after relief ]</t>
    </r>
  </si>
  <si>
    <t>Tax Payable / Refundable [ 20 - (18+22) ]</t>
  </si>
  <si>
    <t>Less: Tax Credit (Avail. only to assessees having total taxable income upto Rs. 5 lacs) u/s 87A</t>
  </si>
  <si>
    <t>Total Income ( 8-10)</t>
  </si>
  <si>
    <t>Tax Payable / Refundable [ 9 - (7+10) ]</t>
  </si>
  <si>
    <t>U/s Section 10(18) Ded. Max. 15000 or 1/3 which is less</t>
  </si>
  <si>
    <r>
      <t xml:space="preserve">ફાઇલ ftp:\\10.159.232.123 પર ઉપલબ્ધ છે, User ID and Password : it </t>
    </r>
    <r>
      <rPr>
        <b/>
        <sz val="14"/>
        <color indexed="12"/>
        <rFont val="Arial Unicode MS"/>
        <family val="2"/>
      </rPr>
      <t>(lowercase)</t>
    </r>
    <r>
      <rPr>
        <b/>
        <sz val="14"/>
        <color indexed="12"/>
        <rFont val="Bookman Old Style"/>
        <family val="1"/>
      </rPr>
      <t xml:space="preserve">
What'sapp or </t>
    </r>
    <r>
      <rPr>
        <b/>
        <sz val="14"/>
        <color indexed="10"/>
        <rFont val="Bookman Old Style"/>
        <family val="1"/>
      </rPr>
      <t>Mail us your Contact Details for Future Communication</t>
    </r>
  </si>
  <si>
    <t>Tax Payable / Refundable Till January 2021</t>
  </si>
  <si>
    <t>Income Tax Calculation 2022 Ver 1</t>
  </si>
  <si>
    <t>Tax Payable / Refundable Till January 2022</t>
  </si>
  <si>
    <t>Ref. Income_Tax_Circular_20_2020.pdf</t>
  </si>
  <si>
    <t>(6-A)</t>
  </si>
  <si>
    <t>(6-B)</t>
  </si>
  <si>
    <t>Honorarium, Bonus, Bank &amp; NSC Interest, House Rent Income, etc</t>
  </si>
  <si>
    <t>Taxable Amounts</t>
  </si>
  <si>
    <t>Honorarium, Bonus, House Rent Income</t>
  </si>
  <si>
    <t>Taxes Deposited Through Challan</t>
  </si>
  <si>
    <t>C. No :</t>
  </si>
  <si>
    <r>
      <t>Tax Payable / Refundable</t>
    </r>
    <r>
      <rPr>
        <b/>
        <sz val="10"/>
        <rFont val="Bookman Old Style"/>
        <family val="1"/>
      </rPr>
      <t xml:space="preserve"> [ 23 - (22+24+25) ]</t>
    </r>
  </si>
  <si>
    <t>Tax Payable / Refundable [ 14 - (13+15+16) ]</t>
  </si>
  <si>
    <t>Updated  P6119 Dt. 07 03 2022 - Challan</t>
  </si>
</sst>
</file>

<file path=xl/styles.xml><?xml version="1.0" encoding="utf-8"?>
<styleSheet xmlns="http://schemas.openxmlformats.org/spreadsheetml/2006/main">
  <numFmts count="24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&quot;Rs.&quot;#,##0_);\(&quot;Rs.&quot;#,##0\)"/>
    <numFmt numFmtId="167" formatCode="mmmm\-yyyy"/>
    <numFmt numFmtId="168" formatCode="000000000000000"/>
    <numFmt numFmtId="169" formatCode="yyyy"/>
    <numFmt numFmtId="170" formatCode="mmm/yyyy"/>
    <numFmt numFmtId="171" formatCode="&quot;Rs.&quot;#,##0.00;[Red]\-&quot;Rs.&quot;#,##0.00"/>
    <numFmt numFmtId="172" formatCode="_-* #,##0.00\ &quot;€&quot;_-;\-* #,##0.00\ &quot;€&quot;_-;_-* &quot;-&quot;??\ &quot;€&quot;_-;_-@_-"/>
    <numFmt numFmtId="173" formatCode="_-* #,##0\ _F_-;\-* #,##0\ _F_-;_-* &quot;-&quot;\ _F_-;_-@_-"/>
    <numFmt numFmtId="174" formatCode="_-* #,##0.00\ _F_-;\-* #,##0.00\ _F_-;_-* &quot;-&quot;??\ _F_-;_-@_-"/>
    <numFmt numFmtId="175" formatCode="#,##0.00000000;[Red]\-#,##0.00000000"/>
    <numFmt numFmtId="176" formatCode="_ &quot;Fr.&quot;\ * #,##0_ ;_ &quot;Fr.&quot;\ * \-#,##0_ ;_ &quot;Fr.&quot;\ * &quot;-&quot;_ ;_ @_ "/>
    <numFmt numFmtId="177" formatCode="_ &quot;Fr.&quot;\ * #,##0.00_ ;_ &quot;Fr.&quot;\ * \-#,##0.00_ ;_ &quot;Fr.&quot;\ * &quot;-&quot;??_ ;_ @_ "/>
    <numFmt numFmtId="178" formatCode="_-&quot;Rs.&quot;* #,##0_-;\-&quot;Rs.&quot;* #,##0_-;_-&quot;Rs.&quot;* &quot;-&quot;_-;_-@_-"/>
    <numFmt numFmtId="179" formatCode="_-&quot;Rs.&quot;* #,##0.00_-;\-&quot;Rs.&quot;* #,##0.00_-;_-&quot;Rs.&quot;* &quot;-&quot;??_-;_-@_-"/>
    <numFmt numFmtId="180" formatCode="&quot;\&quot;#,##0.00;[Red]&quot;\&quot;\-#,##0.00"/>
    <numFmt numFmtId="181" formatCode="&quot;\&quot;#,##0;[Red]&quot;\&quot;\-#,##0"/>
    <numFmt numFmtId="182" formatCode="mmmm"/>
    <numFmt numFmtId="183" formatCode="_-* #,##0.00_-;\-* #,##0.00_-;_-* &quot;-&quot;??_-;_-@_-"/>
    <numFmt numFmtId="184" formatCode="_-* #,##0_-;\-* #,##0_-;_-* &quot;-&quot;??_-;_-@_-"/>
    <numFmt numFmtId="185" formatCode="yy"/>
    <numFmt numFmtId="186" formatCode="dd/mm/yy"/>
  </numFmts>
  <fonts count="193">
    <font>
      <sz val="10"/>
      <name val="Bookman Old Style"/>
    </font>
    <font>
      <sz val="11"/>
      <color indexed="8"/>
      <name val="Calibri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u/>
      <sz val="9"/>
      <color indexed="12"/>
      <name val="Arial"/>
      <family val="2"/>
    </font>
    <font>
      <sz val="10"/>
      <color indexed="10"/>
      <name val="Bookman Old Style"/>
      <family val="1"/>
    </font>
    <font>
      <sz val="9"/>
      <name val="Bookman Old Style"/>
      <family val="1"/>
    </font>
    <font>
      <sz val="10"/>
      <color indexed="12"/>
      <name val="Bookman Old Style"/>
      <family val="1"/>
    </font>
    <font>
      <b/>
      <sz val="9"/>
      <color indexed="9"/>
      <name val="Bookman Old Style"/>
      <family val="1"/>
    </font>
    <font>
      <b/>
      <sz val="10"/>
      <color indexed="10"/>
      <name val="Bookman Old Style"/>
      <family val="1"/>
    </font>
    <font>
      <sz val="11"/>
      <name val="Bookman Old Style"/>
      <family val="1"/>
    </font>
    <font>
      <b/>
      <i/>
      <sz val="10"/>
      <color indexed="10"/>
      <name val="Bookman Old Style"/>
      <family val="1"/>
    </font>
    <font>
      <b/>
      <sz val="10"/>
      <color indexed="13"/>
      <name val="Bookman Old Style"/>
      <family val="1"/>
    </font>
    <font>
      <b/>
      <sz val="10"/>
      <color indexed="12"/>
      <name val="Bookman Old Style"/>
      <family val="1"/>
    </font>
    <font>
      <sz val="10"/>
      <color indexed="57"/>
      <name val="Bookman Old Style"/>
      <family val="1"/>
    </font>
    <font>
      <b/>
      <sz val="9"/>
      <color indexed="10"/>
      <name val="Bookman Old Style"/>
      <family val="1"/>
    </font>
    <font>
      <b/>
      <sz val="9"/>
      <name val="Bookman Old Style"/>
      <family val="1"/>
    </font>
    <font>
      <b/>
      <sz val="9"/>
      <color indexed="12"/>
      <name val="Bookman Old Style"/>
      <family val="1"/>
    </font>
    <font>
      <b/>
      <sz val="8"/>
      <name val="Bookman Old Style"/>
      <family val="1"/>
    </font>
    <font>
      <sz val="8"/>
      <name val="Bookman Old Style"/>
      <family val="1"/>
    </font>
    <font>
      <b/>
      <sz val="12"/>
      <color indexed="9"/>
      <name val="Bookman Old Style"/>
      <family val="1"/>
    </font>
    <font>
      <b/>
      <sz val="12"/>
      <name val="Bookman Old Style"/>
      <family val="1"/>
    </font>
    <font>
      <sz val="9"/>
      <name val="Bookman Old Style"/>
      <family val="1"/>
    </font>
    <font>
      <sz val="11"/>
      <name val="Bookman Old Style"/>
      <family val="1"/>
    </font>
    <font>
      <sz val="10"/>
      <color indexed="12"/>
      <name val="Bookman Old Style"/>
      <family val="1"/>
    </font>
    <font>
      <sz val="10"/>
      <color indexed="9"/>
      <name val="Bookman Old Style"/>
      <family val="1"/>
    </font>
    <font>
      <sz val="9"/>
      <color indexed="12"/>
      <name val="Bookman Old Style"/>
      <family val="1"/>
    </font>
    <font>
      <b/>
      <sz val="11"/>
      <color indexed="10"/>
      <name val="Bookman Old Style"/>
      <family val="1"/>
    </font>
    <font>
      <b/>
      <sz val="12"/>
      <color indexed="10"/>
      <name val="Bookman Old Style"/>
      <family val="1"/>
    </font>
    <font>
      <b/>
      <sz val="12"/>
      <color indexed="12"/>
      <name val="Bookman Old Style"/>
      <family val="1"/>
    </font>
    <font>
      <b/>
      <sz val="11"/>
      <color indexed="12"/>
      <name val="Bookman Old Style"/>
      <family val="1"/>
    </font>
    <font>
      <b/>
      <sz val="9"/>
      <color indexed="13"/>
      <name val="Bookman Old Style"/>
      <family val="1"/>
    </font>
    <font>
      <b/>
      <sz val="9"/>
      <color indexed="13"/>
      <name val="Arial"/>
      <family val="2"/>
    </font>
    <font>
      <sz val="10"/>
      <name val="Bookman Old Style"/>
      <family val="1"/>
    </font>
    <font>
      <sz val="12"/>
      <name val="Bookman Old Style"/>
      <family val="1"/>
    </font>
    <font>
      <sz val="11"/>
      <name val="Bookman Old Style"/>
      <family val="1"/>
    </font>
    <font>
      <sz val="10"/>
      <color indexed="10"/>
      <name val="Bookman Old Style"/>
      <family val="1"/>
    </font>
    <font>
      <sz val="9"/>
      <color indexed="9"/>
      <name val="Bookman Old Style"/>
      <family val="1"/>
    </font>
    <font>
      <sz val="10"/>
      <color indexed="9"/>
      <name val="Bookman Old Style"/>
      <family val="1"/>
    </font>
    <font>
      <sz val="10"/>
      <color indexed="9"/>
      <name val="Bookman Old Style"/>
      <family val="1"/>
    </font>
    <font>
      <sz val="14"/>
      <name val="Bookman Old Style"/>
      <family val="1"/>
    </font>
    <font>
      <sz val="7"/>
      <name val="Bookman Old Style"/>
      <family val="1"/>
    </font>
    <font>
      <b/>
      <sz val="11"/>
      <name val="Bookman Old Style"/>
      <family val="1"/>
    </font>
    <font>
      <b/>
      <sz val="10"/>
      <color indexed="9"/>
      <name val="Bookman Old Style"/>
      <family val="1"/>
    </font>
    <font>
      <sz val="9"/>
      <color indexed="9"/>
      <name val="Bookman Old Style"/>
      <family val="1"/>
    </font>
    <font>
      <sz val="10"/>
      <name val="Arial"/>
      <family val="2"/>
    </font>
    <font>
      <b/>
      <sz val="11"/>
      <color indexed="9"/>
      <name val="Bookman Old Style"/>
      <family val="1"/>
    </font>
    <font>
      <i/>
      <sz val="18"/>
      <color indexed="12"/>
      <name val="Bookman Old Style"/>
      <family val="1"/>
    </font>
    <font>
      <sz val="12"/>
      <color indexed="12"/>
      <name val="Bookman Old Style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indexed="81"/>
      <name val="Tahoma"/>
      <family val="2"/>
    </font>
    <font>
      <sz val="8"/>
      <name val="Bookman Old Style"/>
      <family val="1"/>
    </font>
    <font>
      <b/>
      <sz val="8"/>
      <color indexed="9"/>
      <name val="Bookman Old Style"/>
      <family val="1"/>
    </font>
    <font>
      <b/>
      <sz val="8"/>
      <color indexed="10"/>
      <name val="Bookman Old Style"/>
      <family val="1"/>
    </font>
    <font>
      <b/>
      <sz val="8"/>
      <color indexed="12"/>
      <name val="Bookman Old Style"/>
      <family val="1"/>
    </font>
    <font>
      <b/>
      <sz val="12"/>
      <color indexed="13"/>
      <name val="Bookman Old Style"/>
      <family val="1"/>
    </font>
    <font>
      <b/>
      <sz val="10"/>
      <color indexed="14"/>
      <name val="Bookman Old Style"/>
      <family val="1"/>
    </font>
    <font>
      <sz val="12"/>
      <color indexed="9"/>
      <name val="Bookman Old Style"/>
      <family val="1"/>
    </font>
    <font>
      <b/>
      <i/>
      <sz val="10"/>
      <color indexed="12"/>
      <name val="Bookman Old Style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Bookman Old Style"/>
      <family val="1"/>
    </font>
    <font>
      <b/>
      <sz val="9"/>
      <color indexed="10"/>
      <name val="Arial"/>
      <family val="2"/>
    </font>
    <font>
      <sz val="9"/>
      <color indexed="10"/>
      <name val="Bookman Old Style"/>
      <family val="1"/>
    </font>
    <font>
      <sz val="10"/>
      <color indexed="12"/>
      <name val="Bookman Old Style"/>
      <family val="1"/>
    </font>
    <font>
      <sz val="12"/>
      <name val="¹UAAA¼"/>
      <family val="3"/>
      <charset val="129"/>
    </font>
    <font>
      <sz val="7"/>
      <name val="Helv"/>
    </font>
    <font>
      <b/>
      <sz val="10"/>
      <name val="MS Sans Serif"/>
      <family val="2"/>
    </font>
    <font>
      <sz val="8"/>
      <name val="Arial"/>
      <family val="2"/>
    </font>
    <font>
      <sz val="10"/>
      <name val="Courier"/>
      <family val="3"/>
    </font>
    <font>
      <sz val="11"/>
      <color indexed="8"/>
      <name val="Shruti"/>
      <family val="2"/>
    </font>
    <font>
      <sz val="7"/>
      <color indexed="10"/>
      <name val="Helv"/>
    </font>
    <font>
      <b/>
      <sz val="18"/>
      <color indexed="62"/>
      <name val="Cambria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color indexed="12"/>
      <name val="Bookman Old Style"/>
      <family val="1"/>
    </font>
    <font>
      <b/>
      <sz val="7"/>
      <color indexed="12"/>
      <name val="Bookman Old Style"/>
      <family val="1"/>
    </font>
    <font>
      <b/>
      <sz val="10"/>
      <color indexed="9"/>
      <name val="Bookman Old Style"/>
      <family val="1"/>
    </font>
    <font>
      <sz val="8"/>
      <color indexed="10"/>
      <name val="Bookman Old Style"/>
      <family val="1"/>
    </font>
    <font>
      <sz val="9"/>
      <color indexed="9"/>
      <name val="Bookman Old Style"/>
      <family val="1"/>
    </font>
    <font>
      <b/>
      <sz val="10"/>
      <name val="Bookman Old Style"/>
      <family val="1"/>
    </font>
    <font>
      <b/>
      <sz val="10"/>
      <name val="TERAFONT-VARUN"/>
    </font>
    <font>
      <b/>
      <sz val="16"/>
      <color indexed="13"/>
      <name val="Bookman Old Style"/>
      <family val="1"/>
    </font>
    <font>
      <sz val="10"/>
      <name val="Bookman Old Style"/>
      <family val="1"/>
    </font>
    <font>
      <sz val="10"/>
      <color indexed="9"/>
      <name val="Bookman Old Style"/>
      <family val="1"/>
    </font>
    <font>
      <b/>
      <sz val="11"/>
      <color indexed="13"/>
      <name val="Bookman Old Style"/>
      <family val="1"/>
    </font>
    <font>
      <sz val="14"/>
      <name val="TERAFONT-VARUN"/>
    </font>
    <font>
      <b/>
      <sz val="14"/>
      <color indexed="10"/>
      <name val="Bookman Old Style"/>
      <family val="1"/>
    </font>
    <font>
      <b/>
      <sz val="14"/>
      <name val="TERAFONT-VARUN"/>
    </font>
    <font>
      <sz val="11"/>
      <color indexed="10"/>
      <name val="Bookman Old Style"/>
      <family val="1"/>
    </font>
    <font>
      <sz val="11"/>
      <color indexed="8"/>
      <name val="Book Antiqua"/>
      <family val="2"/>
    </font>
    <font>
      <sz val="8"/>
      <name val="Book Antiqua"/>
      <family val="2"/>
    </font>
    <font>
      <b/>
      <sz val="10"/>
      <color indexed="12"/>
      <name val="Arial"/>
      <family val="2"/>
    </font>
    <font>
      <b/>
      <sz val="9"/>
      <color indexed="81"/>
      <name val="Tahoma"/>
      <family val="2"/>
    </font>
    <font>
      <b/>
      <vertAlign val="subscript"/>
      <sz val="16"/>
      <color indexed="12"/>
      <name val="Bookman Old Style"/>
      <family val="1"/>
    </font>
    <font>
      <sz val="9"/>
      <color indexed="8"/>
      <name val="Bookman Old Style"/>
      <family val="1"/>
    </font>
    <font>
      <b/>
      <sz val="8"/>
      <color indexed="12"/>
      <name val="Bookman Old Style"/>
      <family val="1"/>
    </font>
    <font>
      <sz val="10"/>
      <color indexed="8"/>
      <name val="Bookman Old Style"/>
      <family val="1"/>
    </font>
    <font>
      <b/>
      <sz val="10"/>
      <color indexed="12"/>
      <name val="Bookman Old Style"/>
      <family val="1"/>
    </font>
    <font>
      <b/>
      <i/>
      <sz val="10"/>
      <color indexed="63"/>
      <name val="Bookman Old Style"/>
      <family val="1"/>
    </font>
    <font>
      <b/>
      <sz val="10"/>
      <color indexed="63"/>
      <name val="Bookman Old Style"/>
      <family val="1"/>
    </font>
    <font>
      <b/>
      <sz val="10"/>
      <color indexed="8"/>
      <name val="Bookman Old Style"/>
      <family val="1"/>
    </font>
    <font>
      <sz val="11"/>
      <color indexed="8"/>
      <name val="Bookman Old Style"/>
      <family val="1"/>
    </font>
    <font>
      <b/>
      <sz val="10.5"/>
      <name val="Bookman Old Style"/>
      <family val="1"/>
    </font>
    <font>
      <b/>
      <sz val="10.5"/>
      <color indexed="8"/>
      <name val="Bookman Old Style"/>
      <family val="1"/>
    </font>
    <font>
      <b/>
      <sz val="11"/>
      <color indexed="8"/>
      <name val="Bookman Old Style"/>
      <family val="1"/>
    </font>
    <font>
      <b/>
      <sz val="14"/>
      <color indexed="12"/>
      <name val="Bookman Old Style"/>
      <family val="1"/>
    </font>
    <font>
      <b/>
      <sz val="7"/>
      <name val="Bookman Old Style"/>
      <family val="1"/>
    </font>
    <font>
      <b/>
      <sz val="10"/>
      <color indexed="13"/>
      <name val="Arial"/>
      <family val="2"/>
    </font>
    <font>
      <sz val="10"/>
      <color indexed="8"/>
      <name val="Shruti"/>
      <family val="2"/>
    </font>
    <font>
      <sz val="9"/>
      <color indexed="81"/>
      <name val="Tahoma"/>
      <family val="2"/>
    </font>
    <font>
      <sz val="10"/>
      <color indexed="10"/>
      <name val="Bookman Old Style"/>
      <family val="1"/>
    </font>
    <font>
      <b/>
      <sz val="11"/>
      <color indexed="9"/>
      <name val="Bookman Old Style"/>
      <family val="1"/>
    </font>
    <font>
      <sz val="10"/>
      <color indexed="9"/>
      <name val="Bookman Old Style"/>
      <family val="1"/>
    </font>
    <font>
      <sz val="16"/>
      <color indexed="13"/>
      <name val="Bookman Old Style"/>
      <family val="1"/>
    </font>
    <font>
      <sz val="10"/>
      <color indexed="10"/>
      <name val="Bookman Old Style"/>
      <family val="1"/>
    </font>
    <font>
      <sz val="10"/>
      <color indexed="9"/>
      <name val="Bookman Old Style"/>
      <family val="1"/>
    </font>
    <font>
      <sz val="9"/>
      <color indexed="9"/>
      <name val="Bookman Old Style"/>
      <family val="1"/>
    </font>
    <font>
      <i/>
      <sz val="18"/>
      <color indexed="53"/>
      <name val="Bookman Old Style"/>
      <family val="1"/>
    </font>
    <font>
      <sz val="8"/>
      <color indexed="9"/>
      <name val="Bookman Old Style"/>
      <family val="1"/>
    </font>
    <font>
      <sz val="10"/>
      <color indexed="10"/>
      <name val="Shruti"/>
      <family val="2"/>
    </font>
    <font>
      <b/>
      <sz val="10"/>
      <color indexed="10"/>
      <name val="Shruti"/>
      <family val="2"/>
    </font>
    <font>
      <sz val="11"/>
      <color indexed="8"/>
      <name val="Shruti"/>
      <family val="2"/>
    </font>
    <font>
      <b/>
      <sz val="6"/>
      <name val="Bookman Old Style"/>
      <family val="1"/>
    </font>
    <font>
      <b/>
      <sz val="10"/>
      <color indexed="9"/>
      <name val="Bookman Old Style"/>
      <family val="1"/>
    </font>
    <font>
      <sz val="10"/>
      <color indexed="9"/>
      <name val="Bookman Old Style"/>
      <family val="1"/>
    </font>
    <font>
      <b/>
      <sz val="12"/>
      <color indexed="9"/>
      <name val="Bookman Old Style"/>
      <family val="1"/>
    </font>
    <font>
      <sz val="10"/>
      <color indexed="9"/>
      <name val="Bookman Old Style"/>
      <family val="1"/>
    </font>
    <font>
      <sz val="9"/>
      <color indexed="9"/>
      <name val="Bookman Old Style"/>
      <family val="1"/>
    </font>
    <font>
      <sz val="5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sz val="10"/>
      <color indexed="9"/>
      <name val="Bookman Old Style"/>
      <family val="1"/>
    </font>
    <font>
      <sz val="8"/>
      <color indexed="9"/>
      <name val="Bookman Old Style"/>
      <family val="1"/>
    </font>
    <font>
      <b/>
      <sz val="10"/>
      <color indexed="48"/>
      <name val="Bookman Old Style"/>
      <family val="1"/>
    </font>
    <font>
      <sz val="9"/>
      <color indexed="9"/>
      <name val="Bookman Old Style"/>
      <family val="1"/>
    </font>
    <font>
      <sz val="10"/>
      <name val="Bookman Old Style"/>
      <family val="1"/>
    </font>
    <font>
      <sz val="9"/>
      <name val="Bookman Old Style"/>
      <family val="1"/>
    </font>
    <font>
      <sz val="10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sz val="8"/>
      <name val="Bookman Old Style"/>
      <family val="1"/>
    </font>
    <font>
      <sz val="11"/>
      <color indexed="9"/>
      <name val="Bookman Old Style"/>
      <family val="1"/>
    </font>
    <font>
      <sz val="8"/>
      <color indexed="9"/>
      <name val="Bookman Old Style"/>
      <family val="1"/>
    </font>
    <font>
      <b/>
      <sz val="10.5"/>
      <color indexed="9"/>
      <name val="Bookman Old Style"/>
      <family val="1"/>
    </font>
    <font>
      <b/>
      <i/>
      <sz val="14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sz val="10"/>
      <color indexed="9"/>
      <name val="Bookman Old Style"/>
      <family val="1"/>
    </font>
    <font>
      <b/>
      <sz val="20"/>
      <color indexed="13"/>
      <name val="Bookman Old Style"/>
      <family val="1"/>
    </font>
    <font>
      <b/>
      <i/>
      <sz val="18"/>
      <color indexed="13"/>
      <name val="Bookman Old Style"/>
      <family val="1"/>
    </font>
    <font>
      <b/>
      <sz val="16"/>
      <color indexed="12"/>
      <name val="Bookman Old Style"/>
      <family val="1"/>
    </font>
    <font>
      <sz val="16"/>
      <color indexed="12"/>
      <name val="Bookman Old Style"/>
      <family val="1"/>
    </font>
    <font>
      <sz val="10"/>
      <color indexed="13"/>
      <name val="Bookman Old Style"/>
      <family val="1"/>
    </font>
    <font>
      <b/>
      <sz val="14"/>
      <color indexed="10"/>
      <name val="Arial Unicode MS"/>
      <family val="2"/>
    </font>
    <font>
      <sz val="7"/>
      <color indexed="9"/>
      <name val="Bookman Old Style"/>
      <family val="1"/>
    </font>
    <font>
      <sz val="8"/>
      <color indexed="8"/>
      <name val="Bookman Old Style"/>
      <family val="1"/>
    </font>
    <font>
      <sz val="9"/>
      <name val="Bookman Old Style"/>
      <family val="1"/>
    </font>
    <font>
      <b/>
      <sz val="10"/>
      <color indexed="13"/>
      <name val="Arial"/>
      <family val="2"/>
    </font>
    <font>
      <b/>
      <sz val="9"/>
      <color indexed="13"/>
      <name val="Arial"/>
      <family val="2"/>
    </font>
    <font>
      <b/>
      <sz val="14"/>
      <color indexed="12"/>
      <name val="Arial Unicode MS"/>
      <family val="2"/>
    </font>
    <font>
      <sz val="5"/>
      <color indexed="9"/>
      <name val="Bookman Old Style"/>
      <family val="1"/>
    </font>
    <font>
      <b/>
      <sz val="10"/>
      <color theme="0"/>
      <name val="Bookman Old Style"/>
      <family val="1"/>
    </font>
    <font>
      <sz val="10"/>
      <color theme="0"/>
      <name val="Bookman Old Style"/>
      <family val="1"/>
    </font>
    <font>
      <b/>
      <sz val="14"/>
      <name val="Bookman Old Style"/>
      <family val="1"/>
    </font>
    <font>
      <sz val="8"/>
      <color theme="0"/>
      <name val="Bookman Old Style"/>
      <family val="1"/>
    </font>
    <font>
      <i/>
      <sz val="11"/>
      <color theme="0"/>
      <name val="Calibri"/>
      <family val="2"/>
    </font>
    <font>
      <sz val="10"/>
      <color rgb="FFFF0000"/>
      <name val="Bookman Old Style"/>
      <family val="1"/>
    </font>
    <font>
      <b/>
      <sz val="9"/>
      <color rgb="FFFF0000"/>
      <name val="Bookman Old Style"/>
      <family val="1"/>
    </font>
    <font>
      <sz val="8"/>
      <color rgb="FFFF0000"/>
      <name val="Bookman Old Style"/>
      <family val="1"/>
    </font>
    <font>
      <sz val="9"/>
      <color rgb="FFFF0000"/>
      <name val="Bookman Old Style"/>
      <family val="1"/>
    </font>
    <font>
      <sz val="14"/>
      <color rgb="FFFF0000"/>
      <name val="TERAFONT-VARUN"/>
    </font>
  </fonts>
  <fills count="4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Dashed">
        <color indexed="14"/>
      </right>
      <top/>
      <bottom/>
      <diagonal/>
    </border>
    <border>
      <left style="mediumDashed">
        <color indexed="14"/>
      </left>
      <right style="mediumDashed">
        <color indexed="14"/>
      </right>
      <top style="mediumDashed">
        <color indexed="14"/>
      </top>
      <bottom style="mediumDashed">
        <color indexed="14"/>
      </bottom>
      <diagonal/>
    </border>
    <border>
      <left style="mediumDashed">
        <color indexed="14"/>
      </left>
      <right/>
      <top style="mediumDashed">
        <color indexed="14"/>
      </top>
      <bottom/>
      <diagonal/>
    </border>
    <border>
      <left/>
      <right/>
      <top style="mediumDashed">
        <color indexed="14"/>
      </top>
      <bottom/>
      <diagonal/>
    </border>
    <border>
      <left style="mediumDashed">
        <color indexed="1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Dashed">
        <color indexed="14"/>
      </left>
      <right style="mediumDashed">
        <color indexed="14"/>
      </right>
      <top/>
      <bottom style="mediumDashed">
        <color indexed="14"/>
      </bottom>
      <diagonal/>
    </border>
    <border>
      <left style="mediumDashed">
        <color indexed="14"/>
      </left>
      <right style="mediumDashed">
        <color indexed="14"/>
      </right>
      <top style="mediumDashed">
        <color indexed="14"/>
      </top>
      <bottom/>
      <diagonal/>
    </border>
    <border>
      <left style="mediumDashed">
        <color indexed="14"/>
      </left>
      <right style="mediumDashed">
        <color indexed="14"/>
      </right>
      <top/>
      <bottom/>
      <diagonal/>
    </border>
    <border>
      <left/>
      <right/>
      <top style="mediumDashed">
        <color indexed="14"/>
      </top>
      <bottom style="mediumDashed">
        <color indexed="14"/>
      </bottom>
      <diagonal/>
    </border>
    <border>
      <left/>
      <right style="mediumDashed">
        <color indexed="14"/>
      </right>
      <top style="mediumDashed">
        <color indexed="14"/>
      </top>
      <bottom style="mediumDashed">
        <color indexed="1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Dashed">
        <color indexed="14"/>
      </left>
      <right/>
      <top style="mediumDashed">
        <color indexed="14"/>
      </top>
      <bottom style="mediumDashed">
        <color indexed="1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Dashed">
        <color indexed="14"/>
      </left>
      <right/>
      <top/>
      <bottom style="mediumDashed">
        <color indexed="14"/>
      </bottom>
      <diagonal/>
    </border>
    <border>
      <left/>
      <right/>
      <top/>
      <bottom style="mediumDashed">
        <color indexed="14"/>
      </bottom>
      <diagonal/>
    </border>
    <border>
      <left/>
      <right/>
      <top/>
      <bottom style="thick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173">
    <xf numFmtId="0" fontId="0" fillId="0" borderId="0"/>
    <xf numFmtId="0" fontId="61" fillId="2" borderId="0" applyNumberFormat="0" applyBorder="0" applyAlignment="0" applyProtection="0"/>
    <xf numFmtId="0" fontId="1" fillId="2" borderId="0" applyNumberFormat="0" applyBorder="0" applyAlignment="0" applyProtection="0"/>
    <xf numFmtId="0" fontId="61" fillId="3" borderId="0" applyNumberFormat="0" applyBorder="0" applyAlignment="0" applyProtection="0"/>
    <xf numFmtId="0" fontId="1" fillId="3" borderId="0" applyNumberFormat="0" applyBorder="0" applyAlignment="0" applyProtection="0"/>
    <xf numFmtId="0" fontId="61" fillId="4" borderId="0" applyNumberFormat="0" applyBorder="0" applyAlignment="0" applyProtection="0"/>
    <xf numFmtId="0" fontId="1" fillId="4" borderId="0" applyNumberFormat="0" applyBorder="0" applyAlignment="0" applyProtection="0"/>
    <xf numFmtId="0" fontId="61" fillId="5" borderId="0" applyNumberFormat="0" applyBorder="0" applyAlignment="0" applyProtection="0"/>
    <xf numFmtId="0" fontId="1" fillId="5" borderId="0" applyNumberFormat="0" applyBorder="0" applyAlignment="0" applyProtection="0"/>
    <xf numFmtId="0" fontId="61" fillId="6" borderId="0" applyNumberFormat="0" applyBorder="0" applyAlignment="0" applyProtection="0"/>
    <xf numFmtId="0" fontId="1" fillId="6" borderId="0" applyNumberFormat="0" applyBorder="0" applyAlignment="0" applyProtection="0"/>
    <xf numFmtId="0" fontId="61" fillId="7" borderId="0" applyNumberFormat="0" applyBorder="0" applyAlignment="0" applyProtection="0"/>
    <xf numFmtId="0" fontId="1" fillId="7" borderId="0" applyNumberFormat="0" applyBorder="0" applyAlignment="0" applyProtection="0"/>
    <xf numFmtId="0" fontId="61" fillId="8" borderId="0" applyNumberFormat="0" applyBorder="0" applyAlignment="0" applyProtection="0"/>
    <xf numFmtId="0" fontId="1" fillId="8" borderId="0" applyNumberFormat="0" applyBorder="0" applyAlignment="0" applyProtection="0"/>
    <xf numFmtId="0" fontId="61" fillId="9" borderId="0" applyNumberFormat="0" applyBorder="0" applyAlignment="0" applyProtection="0"/>
    <xf numFmtId="0" fontId="1" fillId="9" borderId="0" applyNumberFormat="0" applyBorder="0" applyAlignment="0" applyProtection="0"/>
    <xf numFmtId="0" fontId="61" fillId="10" borderId="0" applyNumberFormat="0" applyBorder="0" applyAlignment="0" applyProtection="0"/>
    <xf numFmtId="0" fontId="1" fillId="10" borderId="0" applyNumberFormat="0" applyBorder="0" applyAlignment="0" applyProtection="0"/>
    <xf numFmtId="0" fontId="61" fillId="5" borderId="0" applyNumberFormat="0" applyBorder="0" applyAlignment="0" applyProtection="0"/>
    <xf numFmtId="0" fontId="1" fillId="5" borderId="0" applyNumberFormat="0" applyBorder="0" applyAlignment="0" applyProtection="0"/>
    <xf numFmtId="0" fontId="61" fillId="8" borderId="0" applyNumberFormat="0" applyBorder="0" applyAlignment="0" applyProtection="0"/>
    <xf numFmtId="0" fontId="1" fillId="8" borderId="0" applyNumberFormat="0" applyBorder="0" applyAlignment="0" applyProtection="0"/>
    <xf numFmtId="0" fontId="61" fillId="11" borderId="0" applyNumberFormat="0" applyBorder="0" applyAlignment="0" applyProtection="0"/>
    <xf numFmtId="0" fontId="1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9" borderId="0" applyNumberFormat="0" applyBorder="0" applyAlignment="0" applyProtection="0"/>
    <xf numFmtId="0" fontId="6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6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62" fillId="21" borderId="0" applyNumberFormat="0" applyBorder="0" applyAlignment="0" applyProtection="0"/>
    <xf numFmtId="0" fontId="62" fillId="13" borderId="0" applyNumberFormat="0" applyBorder="0" applyAlignment="0" applyProtection="0"/>
    <xf numFmtId="0" fontId="6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14" borderId="0" applyNumberFormat="0" applyBorder="0" applyAlignment="0" applyProtection="0"/>
    <xf numFmtId="0" fontId="6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6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26" borderId="0" applyNumberFormat="0" applyBorder="0" applyAlignment="0" applyProtection="0"/>
    <xf numFmtId="0" fontId="6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62" fillId="27" borderId="0" applyNumberFormat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63" fillId="3" borderId="0" applyNumberFormat="0" applyBorder="0" applyAlignment="0" applyProtection="0"/>
    <xf numFmtId="3" fontId="84" fillId="0" borderId="0"/>
    <xf numFmtId="166" fontId="85" fillId="0" borderId="1" applyAlignment="0" applyProtection="0"/>
    <xf numFmtId="0" fontId="83" fillId="0" borderId="0"/>
    <xf numFmtId="0" fontId="83" fillId="0" borderId="0"/>
    <xf numFmtId="0" fontId="64" fillId="28" borderId="2" applyNumberFormat="0" applyAlignment="0" applyProtection="0"/>
    <xf numFmtId="0" fontId="65" fillId="29" borderId="3" applyNumberFormat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183" fontId="110" fillId="0" borderId="0" applyFont="0" applyFill="0" applyBorder="0" applyAlignment="0" applyProtection="0"/>
    <xf numFmtId="3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0" fontId="77" fillId="30" borderId="0" applyNumberFormat="0" applyBorder="0" applyAlignment="0" applyProtection="0"/>
    <xf numFmtId="0" fontId="77" fillId="31" borderId="0" applyNumberFormat="0" applyBorder="0" applyAlignment="0" applyProtection="0"/>
    <xf numFmtId="0" fontId="77" fillId="32" borderId="0" applyNumberFormat="0" applyBorder="0" applyAlignment="0" applyProtection="0"/>
    <xf numFmtId="172" fontId="46" fillId="0" borderId="0" applyFont="0" applyFill="0" applyBorder="0" applyAlignment="0" applyProtection="0"/>
    <xf numFmtId="0" fontId="67" fillId="0" borderId="0" applyNumberFormat="0" applyFill="0" applyBorder="0" applyAlignment="0" applyProtection="0"/>
    <xf numFmtId="2" fontId="46" fillId="0" borderId="0" applyFont="0" applyFill="0" applyBorder="0" applyAlignment="0" applyProtection="0"/>
    <xf numFmtId="0" fontId="68" fillId="4" borderId="0" applyNumberFormat="0" applyBorder="0" applyAlignment="0" applyProtection="0"/>
    <xf numFmtId="38" fontId="86" fillId="28" borderId="0" applyNumberFormat="0" applyBorder="0" applyAlignment="0" applyProtection="0"/>
    <xf numFmtId="0" fontId="69" fillId="0" borderId="4" applyNumberFormat="0" applyFill="0" applyAlignment="0" applyProtection="0"/>
    <xf numFmtId="0" fontId="70" fillId="0" borderId="5" applyNumberFormat="0" applyFill="0" applyAlignment="0" applyProtection="0"/>
    <xf numFmtId="0" fontId="71" fillId="0" borderId="6" applyNumberFormat="0" applyFill="0" applyAlignment="0" applyProtection="0"/>
    <xf numFmtId="0" fontId="71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72" fillId="7" borderId="2" applyNumberFormat="0" applyAlignment="0" applyProtection="0"/>
    <xf numFmtId="10" fontId="86" fillId="33" borderId="7" applyNumberFormat="0" applyBorder="0" applyAlignment="0" applyProtection="0"/>
    <xf numFmtId="0" fontId="73" fillId="0" borderId="8" applyNumberFormat="0" applyFill="0" applyAlignment="0" applyProtection="0"/>
    <xf numFmtId="173" fontId="46" fillId="0" borderId="0" applyFont="0" applyFill="0" applyBorder="0" applyAlignment="0" applyProtection="0"/>
    <xf numFmtId="174" fontId="46" fillId="0" borderId="0" applyFont="0" applyFill="0" applyBorder="0" applyAlignment="0" applyProtection="0"/>
    <xf numFmtId="0" fontId="74" fillId="34" borderId="0" applyNumberFormat="0" applyBorder="0" applyAlignment="0" applyProtection="0"/>
    <xf numFmtId="0" fontId="87" fillId="0" borderId="0"/>
    <xf numFmtId="175" fontId="46" fillId="0" borderId="0"/>
    <xf numFmtId="0" fontId="46" fillId="0" borderId="0"/>
    <xf numFmtId="0" fontId="46" fillId="0" borderId="0"/>
    <xf numFmtId="0" fontId="88" fillId="0" borderId="0"/>
    <xf numFmtId="0" fontId="6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110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33" borderId="9" applyNumberFormat="0" applyFont="0" applyAlignment="0" applyProtection="0"/>
    <xf numFmtId="0" fontId="46" fillId="33" borderId="9" applyNumberFormat="0" applyFont="0" applyAlignment="0" applyProtection="0"/>
    <xf numFmtId="0" fontId="46" fillId="33" borderId="9" applyNumberFormat="0" applyFont="0" applyAlignment="0" applyProtection="0"/>
    <xf numFmtId="0" fontId="46" fillId="33" borderId="9" applyNumberFormat="0" applyFont="0" applyAlignment="0" applyProtection="0"/>
    <xf numFmtId="0" fontId="46" fillId="33" borderId="9" applyNumberFormat="0" applyFont="0" applyAlignment="0" applyProtection="0"/>
    <xf numFmtId="0" fontId="75" fillId="28" borderId="10" applyNumberFormat="0" applyAlignment="0" applyProtection="0"/>
    <xf numFmtId="10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3" fontId="89" fillId="0" borderId="0"/>
    <xf numFmtId="0" fontId="90" fillId="0" borderId="0" applyNumberForma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76" fillId="0" borderId="0" applyNumberFormat="0" applyFill="0" applyBorder="0" applyAlignment="0" applyProtection="0"/>
    <xf numFmtId="0" fontId="77" fillId="0" borderId="11" applyNumberFormat="0" applyFill="0" applyAlignment="0" applyProtection="0"/>
    <xf numFmtId="176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0" fontId="78" fillId="0" borderId="0" applyNumberFormat="0" applyFill="0" applyBorder="0" applyAlignment="0" applyProtection="0"/>
    <xf numFmtId="40" fontId="91" fillId="0" borderId="0" applyFont="0" applyFill="0" applyBorder="0" applyAlignment="0" applyProtection="0"/>
    <xf numFmtId="38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0" fontId="46" fillId="0" borderId="0" applyFont="0" applyFill="0" applyBorder="0" applyAlignment="0" applyProtection="0"/>
    <xf numFmtId="0" fontId="92" fillId="0" borderId="0"/>
    <xf numFmtId="178" fontId="46" fillId="0" borderId="0" applyFont="0" applyFill="0" applyBorder="0" applyAlignment="0" applyProtection="0"/>
    <xf numFmtId="179" fontId="46" fillId="0" borderId="0" applyFont="0" applyFill="0" applyBorder="0" applyAlignment="0" applyProtection="0"/>
    <xf numFmtId="180" fontId="93" fillId="0" borderId="0" applyFont="0" applyFill="0" applyBorder="0" applyAlignment="0" applyProtection="0"/>
    <xf numFmtId="181" fontId="93" fillId="0" borderId="0" applyFont="0" applyFill="0" applyBorder="0" applyAlignment="0" applyProtection="0"/>
    <xf numFmtId="0" fontId="94" fillId="0" borderId="0"/>
  </cellStyleXfs>
  <cellXfs count="2052">
    <xf numFmtId="0" fontId="0" fillId="0" borderId="0" xfId="0"/>
    <xf numFmtId="0" fontId="4" fillId="0" borderId="0" xfId="0" applyFont="1" applyBorder="1" applyAlignment="1" applyProtection="1">
      <alignment vertical="top"/>
      <protection hidden="1"/>
    </xf>
    <xf numFmtId="0" fontId="3" fillId="0" borderId="0" xfId="0" applyFont="1" applyBorder="1" applyAlignment="1" applyProtection="1">
      <alignment vertical="top"/>
      <protection hidden="1"/>
    </xf>
    <xf numFmtId="0" fontId="4" fillId="0" borderId="0" xfId="0" applyFont="1" applyFill="1" applyProtection="1"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5" fillId="0" borderId="0" xfId="0" applyFont="1" applyFill="1" applyAlignment="1" applyProtection="1">
      <alignment vertical="center"/>
      <protection hidden="1"/>
    </xf>
    <xf numFmtId="0" fontId="8" fillId="35" borderId="0" xfId="0" applyFont="1" applyFill="1" applyBorder="1" applyAlignment="1" applyProtection="1">
      <alignment vertical="center"/>
      <protection hidden="1"/>
    </xf>
    <xf numFmtId="0" fontId="34" fillId="0" borderId="0" xfId="133" applyAlignment="1" applyProtection="1">
      <alignment vertical="top"/>
      <protection hidden="1"/>
    </xf>
    <xf numFmtId="0" fontId="34" fillId="0" borderId="0" xfId="133" applyAlignment="1" applyProtection="1">
      <alignment vertical="top" wrapText="1"/>
      <protection hidden="1"/>
    </xf>
    <xf numFmtId="0" fontId="17" fillId="0" borderId="0" xfId="138" applyFont="1" applyFill="1" applyProtection="1">
      <protection hidden="1"/>
    </xf>
    <xf numFmtId="0" fontId="17" fillId="0" borderId="0" xfId="138" applyFont="1" applyProtection="1">
      <protection hidden="1"/>
    </xf>
    <xf numFmtId="0" fontId="19" fillId="35" borderId="0" xfId="138" applyFont="1" applyFill="1" applyBorder="1" applyAlignment="1" applyProtection="1">
      <alignment vertical="top"/>
      <protection hidden="1"/>
    </xf>
    <xf numFmtId="0" fontId="17" fillId="35" borderId="0" xfId="138" applyFont="1" applyFill="1" applyBorder="1" applyAlignment="1" applyProtection="1">
      <alignment horizontal="right" vertical="center"/>
      <protection hidden="1"/>
    </xf>
    <xf numFmtId="0" fontId="17" fillId="0" borderId="0" xfId="138" applyFont="1" applyFill="1" applyBorder="1" applyAlignment="1" applyProtection="1">
      <alignment vertical="top"/>
      <protection hidden="1"/>
    </xf>
    <xf numFmtId="0" fontId="17" fillId="0" borderId="0" xfId="138" applyFont="1" applyBorder="1" applyAlignment="1" applyProtection="1">
      <alignment vertical="top"/>
      <protection hidden="1"/>
    </xf>
    <xf numFmtId="0" fontId="17" fillId="35" borderId="0" xfId="138" applyFont="1" applyFill="1" applyProtection="1">
      <protection hidden="1"/>
    </xf>
    <xf numFmtId="0" fontId="7" fillId="35" borderId="0" xfId="138" applyFont="1" applyFill="1" applyBorder="1" applyAlignment="1" applyProtection="1">
      <alignment vertical="top"/>
      <protection hidden="1"/>
    </xf>
    <xf numFmtId="0" fontId="7" fillId="35" borderId="0" xfId="138" applyFont="1" applyFill="1" applyBorder="1" applyAlignment="1" applyProtection="1">
      <alignment horizontal="right" vertical="center"/>
      <protection hidden="1"/>
    </xf>
    <xf numFmtId="0" fontId="7" fillId="0" borderId="0" xfId="138" applyFont="1" applyBorder="1" applyAlignment="1" applyProtection="1">
      <alignment vertical="top"/>
      <protection hidden="1"/>
    </xf>
    <xf numFmtId="0" fontId="7" fillId="0" borderId="0" xfId="138" applyFont="1" applyBorder="1" applyAlignment="1" applyProtection="1">
      <alignment vertical="center"/>
      <protection hidden="1"/>
    </xf>
    <xf numFmtId="0" fontId="7" fillId="0" borderId="0" xfId="138" applyFont="1" applyFill="1" applyBorder="1" applyAlignment="1" applyProtection="1">
      <alignment vertical="top"/>
      <protection hidden="1"/>
    </xf>
    <xf numFmtId="0" fontId="7" fillId="0" borderId="0" xfId="138" applyFont="1" applyFill="1" applyBorder="1" applyAlignment="1" applyProtection="1">
      <alignment vertical="center"/>
      <protection hidden="1"/>
    </xf>
    <xf numFmtId="0" fontId="7" fillId="35" borderId="0" xfId="138" applyFont="1" applyFill="1" applyBorder="1" applyAlignment="1" applyProtection="1">
      <alignment horizontal="center" vertical="center"/>
      <protection hidden="1"/>
    </xf>
    <xf numFmtId="0" fontId="7" fillId="35" borderId="12" xfId="138" applyFont="1" applyFill="1" applyBorder="1" applyAlignment="1" applyProtection="1">
      <alignment horizontal="center" vertical="top"/>
      <protection hidden="1"/>
    </xf>
    <xf numFmtId="0" fontId="7" fillId="0" borderId="0" xfId="138" applyFont="1" applyProtection="1">
      <protection hidden="1"/>
    </xf>
    <xf numFmtId="0" fontId="9" fillId="35" borderId="0" xfId="0" applyFont="1" applyFill="1" applyBorder="1" applyAlignment="1" applyProtection="1">
      <alignment horizontal="left" vertical="top" wrapText="1"/>
      <protection hidden="1"/>
    </xf>
    <xf numFmtId="0" fontId="7" fillId="35" borderId="13" xfId="138" applyFont="1" applyFill="1" applyBorder="1" applyAlignment="1" applyProtection="1">
      <alignment horizontal="right" vertical="center"/>
      <protection hidden="1"/>
    </xf>
    <xf numFmtId="0" fontId="7" fillId="35" borderId="14" xfId="138" applyFont="1" applyFill="1" applyBorder="1" applyAlignment="1" applyProtection="1">
      <alignment horizontal="right" vertical="center"/>
      <protection hidden="1"/>
    </xf>
    <xf numFmtId="0" fontId="34" fillId="35" borderId="0" xfId="133" applyFont="1" applyFill="1" applyAlignment="1" applyProtection="1">
      <alignment vertical="top"/>
      <protection hidden="1"/>
    </xf>
    <xf numFmtId="0" fontId="38" fillId="35" borderId="0" xfId="138" applyFont="1" applyFill="1" applyBorder="1" applyAlignment="1" applyProtection="1">
      <alignment vertical="center"/>
      <protection hidden="1"/>
    </xf>
    <xf numFmtId="0" fontId="34" fillId="35" borderId="0" xfId="133" applyFill="1" applyAlignment="1" applyProtection="1">
      <alignment vertical="top"/>
      <protection hidden="1"/>
    </xf>
    <xf numFmtId="0" fontId="35" fillId="35" borderId="0" xfId="133" applyFont="1" applyFill="1" applyAlignment="1" applyProtection="1">
      <alignment horizontal="centerContinuous" vertical="top"/>
      <protection hidden="1"/>
    </xf>
    <xf numFmtId="0" fontId="34" fillId="35" borderId="15" xfId="133" applyFill="1" applyBorder="1" applyAlignment="1" applyProtection="1">
      <alignment vertical="top"/>
      <protection hidden="1"/>
    </xf>
    <xf numFmtId="0" fontId="34" fillId="35" borderId="0" xfId="133" applyFill="1" applyBorder="1" applyAlignment="1" applyProtection="1">
      <alignment vertical="top"/>
      <protection hidden="1"/>
    </xf>
    <xf numFmtId="0" fontId="34" fillId="35" borderId="0" xfId="133" applyFont="1" applyFill="1" applyAlignment="1" applyProtection="1">
      <alignment horizontal="right" vertical="top"/>
      <protection hidden="1"/>
    </xf>
    <xf numFmtId="0" fontId="24" fillId="35" borderId="0" xfId="0" applyFont="1" applyFill="1" applyBorder="1" applyAlignment="1" applyProtection="1">
      <alignment horizontal="left" vertical="top"/>
      <protection hidden="1"/>
    </xf>
    <xf numFmtId="0" fontId="34" fillId="35" borderId="0" xfId="133" applyFont="1" applyFill="1" applyBorder="1" applyAlignment="1" applyProtection="1">
      <alignment vertical="top"/>
      <protection hidden="1"/>
    </xf>
    <xf numFmtId="0" fontId="34" fillId="35" borderId="0" xfId="133" applyFill="1" applyBorder="1" applyAlignment="1" applyProtection="1">
      <alignment vertical="top" wrapText="1"/>
      <protection hidden="1"/>
    </xf>
    <xf numFmtId="9" fontId="34" fillId="35" borderId="0" xfId="133" applyNumberFormat="1" applyFill="1" applyBorder="1" applyAlignment="1" applyProtection="1">
      <alignment horizontal="center" vertical="top"/>
      <protection hidden="1"/>
    </xf>
    <xf numFmtId="0" fontId="34" fillId="35" borderId="0" xfId="133" applyFill="1" applyAlignment="1" applyProtection="1">
      <alignment vertical="top" wrapText="1"/>
      <protection hidden="1"/>
    </xf>
    <xf numFmtId="0" fontId="34" fillId="35" borderId="12" xfId="133" applyFill="1" applyBorder="1" applyAlignment="1" applyProtection="1">
      <alignment horizontal="center" vertical="top" wrapText="1"/>
      <protection hidden="1"/>
    </xf>
    <xf numFmtId="0" fontId="34" fillId="35" borderId="0" xfId="133" quotePrefix="1" applyFill="1" applyBorder="1" applyAlignment="1" applyProtection="1">
      <alignment vertical="top"/>
      <protection hidden="1"/>
    </xf>
    <xf numFmtId="0" fontId="34" fillId="35" borderId="0" xfId="133" applyFill="1" applyBorder="1" applyAlignment="1" applyProtection="1">
      <alignment vertical="top" shrinkToFit="1"/>
      <protection hidden="1"/>
    </xf>
    <xf numFmtId="0" fontId="34" fillId="35" borderId="0" xfId="133" applyFill="1" applyBorder="1" applyAlignment="1" applyProtection="1">
      <alignment horizontal="centerContinuous" vertical="top"/>
      <protection hidden="1"/>
    </xf>
    <xf numFmtId="0" fontId="38" fillId="35" borderId="0" xfId="138" applyFont="1" applyFill="1" applyBorder="1" applyAlignment="1" applyProtection="1">
      <alignment vertical="top"/>
      <protection hidden="1"/>
    </xf>
    <xf numFmtId="0" fontId="4" fillId="35" borderId="12" xfId="133" applyFont="1" applyFill="1" applyBorder="1" applyAlignment="1" applyProtection="1">
      <alignment horizontal="center" vertical="top"/>
      <protection hidden="1"/>
    </xf>
    <xf numFmtId="0" fontId="4" fillId="35" borderId="0" xfId="133" applyFont="1" applyFill="1" applyBorder="1" applyAlignment="1" applyProtection="1">
      <alignment horizontal="center" vertical="top"/>
      <protection hidden="1"/>
    </xf>
    <xf numFmtId="0" fontId="34" fillId="35" borderId="0" xfId="133" applyFill="1" applyAlignment="1" applyProtection="1">
      <alignment vertical="center"/>
      <protection hidden="1"/>
    </xf>
    <xf numFmtId="0" fontId="34" fillId="35" borderId="0" xfId="133" applyFill="1" applyBorder="1" applyAlignment="1" applyProtection="1">
      <alignment vertical="center"/>
      <protection hidden="1"/>
    </xf>
    <xf numFmtId="0" fontId="34" fillId="0" borderId="0" xfId="133" applyAlignment="1" applyProtection="1">
      <alignment vertical="center"/>
      <protection hidden="1"/>
    </xf>
    <xf numFmtId="0" fontId="34" fillId="0" borderId="0" xfId="133" applyBorder="1" applyAlignment="1" applyProtection="1">
      <alignment vertical="top"/>
      <protection hidden="1"/>
    </xf>
    <xf numFmtId="0" fontId="4" fillId="35" borderId="16" xfId="133" applyFont="1" applyFill="1" applyBorder="1" applyAlignment="1" applyProtection="1">
      <alignment vertical="top"/>
      <protection hidden="1"/>
    </xf>
    <xf numFmtId="0" fontId="4" fillId="35" borderId="15" xfId="133" applyFont="1" applyFill="1" applyBorder="1" applyAlignment="1" applyProtection="1">
      <alignment vertical="top"/>
      <protection hidden="1"/>
    </xf>
    <xf numFmtId="0" fontId="23" fillId="35" borderId="15" xfId="0" applyFont="1" applyFill="1" applyBorder="1" applyAlignment="1" applyProtection="1">
      <alignment vertical="top"/>
      <protection hidden="1"/>
    </xf>
    <xf numFmtId="0" fontId="27" fillId="35" borderId="15" xfId="0" applyFont="1" applyFill="1" applyBorder="1" applyAlignment="1" applyProtection="1">
      <alignment vertical="top"/>
      <protection hidden="1"/>
    </xf>
    <xf numFmtId="0" fontId="7" fillId="35" borderId="17" xfId="138" applyFont="1" applyFill="1" applyBorder="1" applyAlignment="1" applyProtection="1">
      <alignment horizontal="left" vertical="top" wrapText="1"/>
      <protection hidden="1"/>
    </xf>
    <xf numFmtId="0" fontId="7" fillId="35" borderId="18" xfId="138" applyFont="1" applyFill="1" applyBorder="1" applyAlignment="1" applyProtection="1">
      <alignment horizontal="left" vertical="top" wrapText="1"/>
      <protection hidden="1"/>
    </xf>
    <xf numFmtId="0" fontId="7" fillId="35" borderId="0" xfId="138" applyFont="1" applyFill="1" applyBorder="1" applyAlignment="1" applyProtection="1">
      <alignment horizontal="left" vertical="top" wrapText="1"/>
      <protection hidden="1"/>
    </xf>
    <xf numFmtId="0" fontId="7" fillId="35" borderId="19" xfId="138" applyFont="1" applyFill="1" applyBorder="1" applyAlignment="1" applyProtection="1">
      <alignment horizontal="left" vertical="top" wrapText="1"/>
      <protection hidden="1"/>
    </xf>
    <xf numFmtId="0" fontId="53" fillId="35" borderId="0" xfId="133" applyFont="1" applyFill="1" applyAlignment="1" applyProtection="1">
      <alignment vertical="top"/>
      <protection hidden="1"/>
    </xf>
    <xf numFmtId="0" fontId="53" fillId="35" borderId="0" xfId="133" applyFont="1" applyFill="1" applyBorder="1" applyAlignment="1" applyProtection="1">
      <alignment vertical="top"/>
      <protection hidden="1"/>
    </xf>
    <xf numFmtId="0" fontId="53" fillId="35" borderId="0" xfId="0" applyFont="1" applyFill="1" applyBorder="1" applyAlignment="1" applyProtection="1">
      <alignment horizontal="center" vertical="top" wrapText="1"/>
      <protection hidden="1"/>
    </xf>
    <xf numFmtId="0" fontId="53" fillId="0" borderId="0" xfId="133" applyFont="1" applyBorder="1" applyAlignment="1" applyProtection="1">
      <alignment vertical="top"/>
      <protection hidden="1"/>
    </xf>
    <xf numFmtId="0" fontId="53" fillId="35" borderId="0" xfId="0" applyNumberFormat="1" applyFont="1" applyFill="1" applyBorder="1" applyAlignment="1" applyProtection="1">
      <alignment horizontal="center" vertical="top"/>
      <protection locked="0"/>
    </xf>
    <xf numFmtId="0" fontId="54" fillId="35" borderId="0" xfId="133" applyFont="1" applyFill="1" applyBorder="1" applyAlignment="1" applyProtection="1">
      <alignment vertical="top"/>
      <protection hidden="1"/>
    </xf>
    <xf numFmtId="0" fontId="54" fillId="35" borderId="0" xfId="138" applyFont="1" applyFill="1" applyBorder="1" applyAlignment="1" applyProtection="1">
      <alignment horizontal="center"/>
      <protection hidden="1"/>
    </xf>
    <xf numFmtId="0" fontId="53" fillId="0" borderId="0" xfId="133" applyFont="1" applyAlignment="1" applyProtection="1">
      <alignment vertical="top"/>
      <protection hidden="1"/>
    </xf>
    <xf numFmtId="0" fontId="55" fillId="35" borderId="0" xfId="133" applyFont="1" applyFill="1" applyBorder="1" applyAlignment="1" applyProtection="1">
      <alignment horizontal="center" vertical="top"/>
      <protection hidden="1"/>
    </xf>
    <xf numFmtId="0" fontId="56" fillId="35" borderId="0" xfId="138" applyFont="1" applyFill="1" applyBorder="1" applyAlignment="1" applyProtection="1">
      <alignment horizontal="center"/>
      <protection hidden="1"/>
    </xf>
    <xf numFmtId="0" fontId="53" fillId="35" borderId="0" xfId="133" applyFont="1" applyFill="1" applyBorder="1" applyAlignment="1" applyProtection="1">
      <alignment horizontal="center" vertical="top"/>
      <protection hidden="1"/>
    </xf>
    <xf numFmtId="0" fontId="56" fillId="35" borderId="0" xfId="138" applyFont="1" applyFill="1" applyBorder="1" applyAlignment="1" applyProtection="1">
      <alignment horizontal="center"/>
      <protection locked="0"/>
    </xf>
    <xf numFmtId="0" fontId="53" fillId="35" borderId="0" xfId="0" applyNumberFormat="1" applyFont="1" applyFill="1" applyBorder="1" applyAlignment="1" applyProtection="1">
      <alignment horizontal="center"/>
      <protection hidden="1"/>
    </xf>
    <xf numFmtId="0" fontId="29" fillId="0" borderId="0" xfId="114" applyFont="1" applyFill="1" applyBorder="1" applyAlignment="1" applyProtection="1">
      <alignment horizontal="center" vertical="top" wrapText="1"/>
      <protection hidden="1"/>
    </xf>
    <xf numFmtId="0" fontId="79" fillId="35" borderId="0" xfId="138" applyFont="1" applyFill="1" applyBorder="1" applyAlignment="1" applyProtection="1">
      <alignment vertical="center"/>
      <protection hidden="1"/>
    </xf>
    <xf numFmtId="0" fontId="7" fillId="35" borderId="0" xfId="138" applyFont="1" applyFill="1" applyBorder="1" applyAlignment="1" applyProtection="1">
      <alignment horizontal="right" vertical="center" shrinkToFit="1"/>
      <protection hidden="1"/>
    </xf>
    <xf numFmtId="0" fontId="17" fillId="35" borderId="0" xfId="138" applyFont="1" applyFill="1" applyBorder="1" applyAlignment="1" applyProtection="1">
      <alignment vertical="center"/>
      <protection hidden="1"/>
    </xf>
    <xf numFmtId="0" fontId="17" fillId="35" borderId="0" xfId="138" applyFont="1" applyFill="1" applyBorder="1" applyAlignment="1" applyProtection="1">
      <alignment horizontal="left" vertical="center"/>
      <protection hidden="1"/>
    </xf>
    <xf numFmtId="0" fontId="7" fillId="35" borderId="0" xfId="138" applyFont="1" applyFill="1" applyBorder="1" applyAlignment="1" applyProtection="1">
      <alignment horizontal="left" vertical="center" shrinkToFit="1"/>
      <protection locked="0" hidden="1"/>
    </xf>
    <xf numFmtId="0" fontId="7" fillId="36" borderId="0" xfId="138" applyFont="1" applyFill="1" applyBorder="1" applyAlignment="1" applyProtection="1">
      <alignment vertical="top"/>
      <protection hidden="1"/>
    </xf>
    <xf numFmtId="0" fontId="34" fillId="35" borderId="0" xfId="133" applyFont="1" applyFill="1" applyBorder="1" applyAlignment="1" applyProtection="1">
      <alignment horizontal="left" vertical="top" wrapText="1"/>
      <protection hidden="1"/>
    </xf>
    <xf numFmtId="0" fontId="34" fillId="35" borderId="0" xfId="133" applyNumberFormat="1" applyFont="1" applyFill="1" applyBorder="1" applyAlignment="1" applyProtection="1">
      <alignment horizontal="right" vertical="top" shrinkToFit="1"/>
      <protection hidden="1"/>
    </xf>
    <xf numFmtId="0" fontId="4" fillId="0" borderId="0" xfId="133" applyNumberFormat="1" applyFont="1" applyFill="1" applyBorder="1" applyAlignment="1" applyProtection="1">
      <alignment vertical="top"/>
      <protection hidden="1"/>
    </xf>
    <xf numFmtId="0" fontId="3" fillId="0" borderId="0" xfId="133" applyNumberFormat="1" applyFont="1" applyFill="1" applyBorder="1" applyAlignment="1" applyProtection="1">
      <alignment horizontal="right" vertical="top"/>
      <protection hidden="1"/>
    </xf>
    <xf numFmtId="0" fontId="34" fillId="35" borderId="17" xfId="133" applyFont="1" applyFill="1" applyBorder="1" applyAlignment="1" applyProtection="1">
      <alignment horizontal="left" vertical="top" wrapText="1"/>
      <protection hidden="1"/>
    </xf>
    <xf numFmtId="0" fontId="34" fillId="35" borderId="17" xfId="133" applyNumberFormat="1" applyFont="1" applyFill="1" applyBorder="1" applyAlignment="1" applyProtection="1">
      <alignment horizontal="right" vertical="top" shrinkToFit="1"/>
      <protection hidden="1"/>
    </xf>
    <xf numFmtId="0" fontId="16" fillId="35" borderId="0" xfId="138" applyFont="1" applyFill="1" applyBorder="1" applyAlignment="1" applyProtection="1">
      <alignment vertical="top"/>
      <protection hidden="1"/>
    </xf>
    <xf numFmtId="49" fontId="7" fillId="35" borderId="0" xfId="138" applyNumberFormat="1" applyFont="1" applyFill="1" applyBorder="1" applyAlignment="1" applyProtection="1">
      <alignment horizontal="left" vertical="center"/>
      <protection locked="0" hidden="1"/>
    </xf>
    <xf numFmtId="0" fontId="7" fillId="35" borderId="0" xfId="138" applyFont="1" applyFill="1" applyProtection="1">
      <protection hidden="1"/>
    </xf>
    <xf numFmtId="0" fontId="38" fillId="35" borderId="0" xfId="138" applyFont="1" applyFill="1" applyProtection="1">
      <protection hidden="1"/>
    </xf>
    <xf numFmtId="0" fontId="16" fillId="35" borderId="0" xfId="138" applyFont="1" applyFill="1" applyProtection="1">
      <protection hidden="1"/>
    </xf>
    <xf numFmtId="0" fontId="16" fillId="35" borderId="0" xfId="138" applyFont="1" applyFill="1" applyBorder="1" applyAlignment="1" applyProtection="1">
      <alignment horizontal="center" vertical="center"/>
      <protection hidden="1"/>
    </xf>
    <xf numFmtId="0" fontId="16" fillId="35" borderId="0" xfId="138" applyFont="1" applyFill="1" applyAlignment="1" applyProtection="1">
      <alignment horizontal="center"/>
      <protection hidden="1"/>
    </xf>
    <xf numFmtId="0" fontId="7" fillId="0" borderId="0" xfId="138" applyFont="1" applyFill="1" applyProtection="1">
      <protection hidden="1"/>
    </xf>
    <xf numFmtId="0" fontId="79" fillId="35" borderId="0" xfId="138" applyFont="1" applyFill="1" applyBorder="1" applyAlignment="1" applyProtection="1">
      <alignment horizontal="left" vertical="center"/>
      <protection locked="0"/>
    </xf>
    <xf numFmtId="0" fontId="17" fillId="35" borderId="0" xfId="138" applyFont="1" applyFill="1" applyBorder="1" applyAlignment="1" applyProtection="1">
      <alignment horizontal="left" vertical="center" shrinkToFit="1"/>
      <protection locked="0" hidden="1"/>
    </xf>
    <xf numFmtId="168" fontId="17" fillId="35" borderId="0" xfId="138" applyNumberFormat="1" applyFont="1" applyFill="1" applyBorder="1" applyAlignment="1" applyProtection="1">
      <alignment horizontal="left" vertical="center" shrinkToFit="1"/>
      <protection locked="0" hidden="1"/>
    </xf>
    <xf numFmtId="0" fontId="79" fillId="35" borderId="0" xfId="138" applyFont="1" applyFill="1" applyBorder="1" applyAlignment="1" applyProtection="1">
      <alignment horizontal="right" vertical="center"/>
      <protection hidden="1"/>
    </xf>
    <xf numFmtId="0" fontId="7" fillId="35" borderId="20" xfId="138" applyFont="1" applyFill="1" applyBorder="1" applyAlignment="1" applyProtection="1">
      <alignment horizontal="right" vertical="center"/>
      <protection hidden="1"/>
    </xf>
    <xf numFmtId="0" fontId="7" fillId="35" borderId="1" xfId="138" applyFont="1" applyFill="1" applyBorder="1" applyAlignment="1" applyProtection="1">
      <alignment horizontal="center" vertical="center" wrapText="1"/>
      <protection hidden="1"/>
    </xf>
    <xf numFmtId="0" fontId="7" fillId="35" borderId="0" xfId="138" applyFont="1" applyFill="1" applyBorder="1" applyAlignment="1" applyProtection="1">
      <alignment horizontal="center" vertical="center" wrapText="1"/>
      <protection hidden="1"/>
    </xf>
    <xf numFmtId="0" fontId="11" fillId="35" borderId="0" xfId="138" applyFont="1" applyFill="1" applyBorder="1" applyAlignment="1" applyProtection="1">
      <alignment horizontal="left" vertical="center"/>
      <protection locked="0"/>
    </xf>
    <xf numFmtId="0" fontId="49" fillId="35" borderId="0" xfId="138" applyFont="1" applyFill="1" applyBorder="1" applyAlignment="1" applyProtection="1">
      <alignment horizontal="left" vertical="center"/>
      <protection locked="0"/>
    </xf>
    <xf numFmtId="0" fontId="7" fillId="35" borderId="0" xfId="138" applyFont="1" applyFill="1" applyBorder="1" applyAlignment="1" applyProtection="1">
      <alignment vertical="center"/>
      <protection hidden="1"/>
    </xf>
    <xf numFmtId="0" fontId="81" fillId="35" borderId="0" xfId="138" applyFont="1" applyFill="1" applyBorder="1" applyAlignment="1" applyProtection="1">
      <alignment vertical="center"/>
      <protection hidden="1"/>
    </xf>
    <xf numFmtId="0" fontId="38" fillId="35" borderId="0" xfId="138" applyFont="1" applyFill="1" applyBorder="1" applyAlignment="1" applyProtection="1">
      <alignment horizontal="right" vertical="center" shrinkToFit="1"/>
      <protection hidden="1"/>
    </xf>
    <xf numFmtId="0" fontId="49" fillId="35" borderId="0" xfId="138" applyFont="1" applyFill="1" applyBorder="1" applyAlignment="1" applyProtection="1">
      <alignment vertical="center"/>
      <protection locked="0"/>
    </xf>
    <xf numFmtId="0" fontId="11" fillId="35" borderId="0" xfId="138" applyFont="1" applyFill="1" applyBorder="1" applyAlignment="1" applyProtection="1">
      <alignment vertical="center"/>
      <protection locked="0"/>
    </xf>
    <xf numFmtId="0" fontId="4" fillId="35" borderId="0" xfId="138" applyFont="1" applyFill="1" applyBorder="1" applyAlignment="1" applyProtection="1">
      <alignment vertical="center"/>
      <protection locked="0"/>
    </xf>
    <xf numFmtId="0" fontId="38" fillId="35" borderId="0" xfId="138" applyFont="1" applyFill="1" applyAlignment="1" applyProtection="1">
      <alignment vertical="center"/>
      <protection hidden="1"/>
    </xf>
    <xf numFmtId="0" fontId="7" fillId="0" borderId="0" xfId="138" applyFont="1" applyAlignment="1" applyProtection="1">
      <alignment vertical="center"/>
      <protection hidden="1"/>
    </xf>
    <xf numFmtId="0" fontId="38" fillId="35" borderId="21" xfId="138" applyFont="1" applyFill="1" applyBorder="1" applyAlignment="1" applyProtection="1">
      <alignment vertical="center"/>
      <protection hidden="1"/>
    </xf>
    <xf numFmtId="0" fontId="9" fillId="35" borderId="0" xfId="138" applyFont="1" applyFill="1" applyBorder="1" applyAlignment="1" applyProtection="1">
      <alignment vertical="top"/>
      <protection hidden="1"/>
    </xf>
    <xf numFmtId="0" fontId="4" fillId="35" borderId="0" xfId="0" applyFont="1" applyFill="1" applyProtection="1">
      <protection hidden="1"/>
    </xf>
    <xf numFmtId="168" fontId="49" fillId="35" borderId="0" xfId="138" applyNumberFormat="1" applyFont="1" applyFill="1" applyBorder="1" applyAlignment="1" applyProtection="1">
      <alignment horizontal="left" vertical="center"/>
      <protection locked="0"/>
    </xf>
    <xf numFmtId="169" fontId="17" fillId="35" borderId="0" xfId="138" applyNumberFormat="1" applyFont="1" applyFill="1" applyBorder="1" applyAlignment="1" applyProtection="1">
      <alignment vertical="center"/>
      <protection hidden="1"/>
    </xf>
    <xf numFmtId="169" fontId="17" fillId="35" borderId="0" xfId="138" applyNumberFormat="1" applyFont="1" applyFill="1" applyBorder="1" applyAlignment="1" applyProtection="1">
      <alignment horizontal="left" vertical="center"/>
      <protection hidden="1"/>
    </xf>
    <xf numFmtId="49" fontId="49" fillId="35" borderId="0" xfId="138" applyNumberFormat="1" applyFont="1" applyFill="1" applyBorder="1" applyAlignment="1" applyProtection="1">
      <alignment horizontal="left" vertical="center"/>
      <protection locked="0"/>
    </xf>
    <xf numFmtId="49" fontId="11" fillId="35" borderId="0" xfId="138" applyNumberFormat="1" applyFont="1" applyFill="1" applyBorder="1" applyAlignment="1" applyProtection="1">
      <alignment horizontal="left" vertical="center"/>
      <protection locked="0"/>
    </xf>
    <xf numFmtId="49" fontId="7" fillId="35" borderId="0" xfId="138" applyNumberFormat="1" applyFont="1" applyFill="1" applyBorder="1" applyAlignment="1" applyProtection="1">
      <alignment horizontal="left" vertical="center"/>
      <protection locked="0"/>
    </xf>
    <xf numFmtId="0" fontId="7" fillId="35" borderId="0" xfId="138" applyFont="1" applyFill="1" applyBorder="1" applyAlignment="1" applyProtection="1">
      <alignment horizontal="left" vertical="center" shrinkToFit="1"/>
      <protection locked="0"/>
    </xf>
    <xf numFmtId="0" fontId="49" fillId="35" borderId="0" xfId="138" applyFont="1" applyFill="1" applyBorder="1" applyAlignment="1" applyProtection="1">
      <alignment horizontal="left" vertical="center" shrinkToFit="1"/>
      <protection locked="0"/>
    </xf>
    <xf numFmtId="0" fontId="16" fillId="36" borderId="0" xfId="138" applyFont="1" applyFill="1" applyAlignment="1" applyProtection="1">
      <alignment horizontal="center" vertical="center"/>
      <protection hidden="1"/>
    </xf>
    <xf numFmtId="0" fontId="39" fillId="35" borderId="15" xfId="133" applyFont="1" applyFill="1" applyBorder="1" applyAlignment="1" applyProtection="1">
      <alignment vertical="top"/>
      <protection hidden="1"/>
    </xf>
    <xf numFmtId="0" fontId="38" fillId="35" borderId="15" xfId="0" applyFont="1" applyFill="1" applyBorder="1" applyAlignment="1" applyProtection="1">
      <alignment vertical="top"/>
      <protection hidden="1"/>
    </xf>
    <xf numFmtId="1" fontId="54" fillId="35" borderId="0" xfId="133" applyNumberFormat="1" applyFont="1" applyFill="1" applyBorder="1" applyAlignment="1" applyProtection="1">
      <alignment vertical="top"/>
      <protection hidden="1"/>
    </xf>
    <xf numFmtId="0" fontId="23" fillId="35" borderId="15" xfId="0" applyFont="1" applyFill="1" applyBorder="1" applyAlignment="1" applyProtection="1">
      <alignment vertical="top" wrapText="1"/>
      <protection hidden="1"/>
    </xf>
    <xf numFmtId="0" fontId="82" fillId="35" borderId="0" xfId="133" applyNumberFormat="1" applyFont="1" applyFill="1" applyBorder="1" applyAlignment="1" applyProtection="1">
      <alignment horizontal="right" vertical="top" shrinkToFit="1"/>
      <protection hidden="1"/>
    </xf>
    <xf numFmtId="0" fontId="95" fillId="35" borderId="0" xfId="138" applyFont="1" applyFill="1" applyBorder="1" applyAlignment="1" applyProtection="1">
      <alignment vertical="top"/>
      <protection hidden="1"/>
    </xf>
    <xf numFmtId="0" fontId="3" fillId="35" borderId="0" xfId="114" applyFont="1" applyFill="1" applyBorder="1" applyAlignment="1" applyProtection="1">
      <alignment horizontal="center" vertical="center"/>
      <protection hidden="1"/>
    </xf>
    <xf numFmtId="0" fontId="29" fillId="37" borderId="22" xfId="114" applyFont="1" applyFill="1" applyBorder="1" applyAlignment="1" applyProtection="1">
      <alignment horizontal="centerContinuous" vertical="center"/>
      <protection hidden="1"/>
    </xf>
    <xf numFmtId="0" fontId="57" fillId="37" borderId="22" xfId="114" applyFont="1" applyFill="1" applyBorder="1" applyAlignment="1" applyProtection="1">
      <alignment horizontal="centerContinuous" vertical="center"/>
      <protection hidden="1"/>
    </xf>
    <xf numFmtId="0" fontId="28" fillId="37" borderId="22" xfId="0" applyFont="1" applyFill="1" applyBorder="1" applyAlignment="1" applyProtection="1">
      <alignment horizontal="centerContinuous" vertical="center"/>
      <protection hidden="1"/>
    </xf>
    <xf numFmtId="0" fontId="28" fillId="37" borderId="23" xfId="0" applyFont="1" applyFill="1" applyBorder="1" applyAlignment="1" applyProtection="1">
      <alignment horizontal="centerContinuous" vertical="center"/>
      <protection hidden="1"/>
    </xf>
    <xf numFmtId="0" fontId="30" fillId="35" borderId="0" xfId="114" applyFont="1" applyFill="1" applyBorder="1" applyAlignment="1" applyProtection="1">
      <alignment horizontal="center" vertical="center" wrapText="1"/>
      <protection hidden="1"/>
    </xf>
    <xf numFmtId="0" fontId="44" fillId="37" borderId="22" xfId="114" applyFont="1" applyFill="1" applyBorder="1" applyAlignment="1" applyProtection="1">
      <alignment horizontal="centerContinuous" vertical="center"/>
      <protection hidden="1"/>
    </xf>
    <xf numFmtId="0" fontId="44" fillId="37" borderId="22" xfId="0" applyFont="1" applyFill="1" applyBorder="1" applyAlignment="1" applyProtection="1">
      <alignment horizontal="centerContinuous" vertical="center"/>
      <protection hidden="1"/>
    </xf>
    <xf numFmtId="0" fontId="21" fillId="37" borderId="22" xfId="114" applyFont="1" applyFill="1" applyBorder="1" applyAlignment="1" applyProtection="1">
      <alignment horizontal="centerContinuous" vertical="center"/>
      <protection hidden="1"/>
    </xf>
    <xf numFmtId="0" fontId="21" fillId="37" borderId="23" xfId="114" applyFont="1" applyFill="1" applyBorder="1" applyAlignment="1" applyProtection="1">
      <alignment horizontal="centerContinuous" vertical="center"/>
      <protection hidden="1"/>
    </xf>
    <xf numFmtId="0" fontId="13" fillId="37" borderId="24" xfId="114" applyFont="1" applyFill="1" applyBorder="1" applyAlignment="1" applyProtection="1">
      <alignment horizontal="centerContinuous" vertical="center"/>
      <protection hidden="1"/>
    </xf>
    <xf numFmtId="0" fontId="13" fillId="37" borderId="22" xfId="114" applyFont="1" applyFill="1" applyBorder="1" applyAlignment="1" applyProtection="1">
      <alignment horizontal="centerContinuous" vertical="center"/>
      <protection hidden="1"/>
    </xf>
    <xf numFmtId="0" fontId="0" fillId="35" borderId="0" xfId="0" applyFill="1" applyProtection="1"/>
    <xf numFmtId="0" fontId="0" fillId="0" borderId="0" xfId="0" applyProtection="1"/>
    <xf numFmtId="0" fontId="0" fillId="0" borderId="0" xfId="0" applyAlignment="1" applyProtection="1">
      <alignment vertical="center"/>
    </xf>
    <xf numFmtId="0" fontId="57" fillId="35" borderId="0" xfId="114" applyFont="1" applyFill="1" applyBorder="1" applyAlignment="1" applyProtection="1">
      <alignment horizontal="center" vertical="center" wrapText="1"/>
    </xf>
    <xf numFmtId="0" fontId="0" fillId="35" borderId="0" xfId="0" applyFill="1" applyBorder="1" applyProtection="1"/>
    <xf numFmtId="0" fontId="0" fillId="35" borderId="0" xfId="0" applyFill="1" applyBorder="1" applyAlignment="1" applyProtection="1">
      <alignment vertical="center"/>
    </xf>
    <xf numFmtId="0" fontId="0" fillId="35" borderId="0" xfId="0" applyFill="1" applyBorder="1" applyAlignment="1" applyProtection="1">
      <alignment horizontal="left" vertical="center"/>
    </xf>
    <xf numFmtId="0" fontId="0" fillId="35" borderId="0" xfId="0" applyFill="1" applyBorder="1" applyAlignment="1" applyProtection="1">
      <alignment horizontal="center" vertical="center"/>
    </xf>
    <xf numFmtId="0" fontId="0" fillId="35" borderId="0" xfId="0" applyFill="1" applyBorder="1" applyAlignment="1" applyProtection="1">
      <alignment horizontal="centerContinuous" vertical="center"/>
    </xf>
    <xf numFmtId="0" fontId="0" fillId="35" borderId="0" xfId="0" applyFill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99" fillId="35" borderId="0" xfId="138" applyFont="1" applyFill="1" applyBorder="1" applyAlignment="1" applyProtection="1">
      <alignment vertical="top"/>
      <protection hidden="1"/>
    </xf>
    <xf numFmtId="0" fontId="34" fillId="0" borderId="25" xfId="133" applyBorder="1" applyAlignment="1" applyProtection="1">
      <alignment vertical="top"/>
      <protection hidden="1"/>
    </xf>
    <xf numFmtId="0" fontId="17" fillId="35" borderId="0" xfId="138" applyFont="1" applyFill="1" applyBorder="1" applyAlignment="1" applyProtection="1">
      <alignment vertical="top"/>
      <protection hidden="1"/>
    </xf>
    <xf numFmtId="0" fontId="100" fillId="35" borderId="0" xfId="133" applyFont="1" applyFill="1" applyBorder="1" applyAlignment="1" applyProtection="1">
      <alignment vertical="top"/>
      <protection hidden="1"/>
    </xf>
    <xf numFmtId="0" fontId="101" fillId="35" borderId="0" xfId="133" applyFont="1" applyFill="1" applyBorder="1" applyAlignment="1" applyProtection="1">
      <alignment vertical="top"/>
      <protection hidden="1"/>
    </xf>
    <xf numFmtId="0" fontId="29" fillId="36" borderId="0" xfId="138" applyFont="1" applyFill="1" applyAlignment="1" applyProtection="1">
      <alignment horizontal="centerContinuous" vertical="center"/>
      <protection hidden="1"/>
    </xf>
    <xf numFmtId="0" fontId="44" fillId="37" borderId="0" xfId="138" applyFont="1" applyFill="1" applyBorder="1" applyAlignment="1" applyProtection="1">
      <alignment horizontal="left" vertical="center"/>
      <protection hidden="1"/>
    </xf>
    <xf numFmtId="0" fontId="44" fillId="37" borderId="0" xfId="138" applyFont="1" applyFill="1" applyBorder="1" applyAlignment="1" applyProtection="1">
      <alignment vertical="center"/>
      <protection hidden="1"/>
    </xf>
    <xf numFmtId="0" fontId="81" fillId="37" borderId="0" xfId="138" applyFont="1" applyFill="1" applyBorder="1" applyAlignment="1" applyProtection="1">
      <alignment vertical="center"/>
      <protection hidden="1"/>
    </xf>
    <xf numFmtId="0" fontId="98" fillId="37" borderId="0" xfId="138" applyFont="1" applyFill="1" applyBorder="1" applyAlignment="1" applyProtection="1">
      <alignment horizontal="center" vertical="center"/>
      <protection hidden="1"/>
    </xf>
    <xf numFmtId="0" fontId="98" fillId="37" borderId="0" xfId="138" applyFont="1" applyFill="1" applyBorder="1" applyAlignment="1" applyProtection="1">
      <alignment vertical="center"/>
      <protection hidden="1"/>
    </xf>
    <xf numFmtId="0" fontId="37" fillId="37" borderId="0" xfId="138" applyFont="1" applyFill="1" applyBorder="1" applyAlignment="1" applyProtection="1">
      <alignment vertical="center"/>
      <protection hidden="1"/>
    </xf>
    <xf numFmtId="0" fontId="81" fillId="37" borderId="0" xfId="138" applyFont="1" applyFill="1" applyBorder="1" applyAlignment="1" applyProtection="1">
      <alignment horizontal="left" vertical="center"/>
      <protection hidden="1"/>
    </xf>
    <xf numFmtId="0" fontId="45" fillId="37" borderId="0" xfId="138" applyFont="1" applyFill="1" applyBorder="1" applyAlignment="1" applyProtection="1">
      <alignment horizontal="left" vertical="center"/>
      <protection hidden="1"/>
    </xf>
    <xf numFmtId="0" fontId="97" fillId="37" borderId="0" xfId="138" applyFont="1" applyFill="1" applyBorder="1" applyAlignment="1" applyProtection="1">
      <alignment vertical="center"/>
      <protection hidden="1"/>
    </xf>
    <xf numFmtId="0" fontId="99" fillId="37" borderId="0" xfId="138" applyFont="1" applyFill="1" applyBorder="1" applyAlignment="1" applyProtection="1">
      <alignment horizontal="left" vertical="center"/>
      <protection hidden="1"/>
    </xf>
    <xf numFmtId="0" fontId="2" fillId="35" borderId="0" xfId="136" applyFill="1" applyAlignment="1" applyProtection="1">
      <alignment vertical="top"/>
      <protection hidden="1"/>
    </xf>
    <xf numFmtId="0" fontId="2" fillId="35" borderId="0" xfId="136" applyFont="1" applyFill="1" applyAlignment="1" applyProtection="1">
      <alignment vertical="top"/>
      <protection hidden="1"/>
    </xf>
    <xf numFmtId="0" fontId="41" fillId="35" borderId="0" xfId="136" applyFont="1" applyFill="1" applyAlignment="1" applyProtection="1">
      <alignment horizontal="centerContinuous" vertical="top"/>
      <protection hidden="1"/>
    </xf>
    <xf numFmtId="0" fontId="35" fillId="35" borderId="0" xfId="136" applyFont="1" applyFill="1" applyAlignment="1" applyProtection="1">
      <alignment horizontal="centerContinuous" vertical="top"/>
      <protection hidden="1"/>
    </xf>
    <xf numFmtId="0" fontId="2" fillId="0" borderId="0" xfId="136" applyAlignment="1" applyProtection="1">
      <alignment vertical="top"/>
      <protection hidden="1"/>
    </xf>
    <xf numFmtId="0" fontId="11" fillId="35" borderId="0" xfId="136" applyFont="1" applyFill="1" applyAlignment="1" applyProtection="1">
      <alignment horizontal="centerContinuous" vertical="top"/>
      <protection hidden="1"/>
    </xf>
    <xf numFmtId="0" fontId="35" fillId="35" borderId="0" xfId="136" applyFont="1" applyFill="1" applyAlignment="1" applyProtection="1">
      <alignment horizontal="right" vertical="top"/>
      <protection hidden="1"/>
    </xf>
    <xf numFmtId="0" fontId="2" fillId="35" borderId="15" xfId="136" applyFill="1" applyBorder="1" applyAlignment="1" applyProtection="1">
      <alignment vertical="top"/>
      <protection hidden="1"/>
    </xf>
    <xf numFmtId="0" fontId="2" fillId="35" borderId="25" xfId="136" applyFill="1" applyBorder="1" applyAlignment="1" applyProtection="1">
      <alignment vertical="top"/>
      <protection hidden="1"/>
    </xf>
    <xf numFmtId="0" fontId="2" fillId="35" borderId="12" xfId="136" applyFill="1" applyBorder="1" applyAlignment="1" applyProtection="1">
      <alignment vertical="top"/>
      <protection hidden="1"/>
    </xf>
    <xf numFmtId="0" fontId="26" fillId="35" borderId="15" xfId="136" applyFont="1" applyFill="1" applyBorder="1" applyAlignment="1" applyProtection="1">
      <alignment vertical="top"/>
      <protection hidden="1"/>
    </xf>
    <xf numFmtId="0" fontId="59" fillId="35" borderId="15" xfId="136" applyFont="1" applyFill="1" applyBorder="1" applyAlignment="1" applyProtection="1">
      <alignment vertical="top"/>
      <protection hidden="1"/>
    </xf>
    <xf numFmtId="0" fontId="2" fillId="35" borderId="26" xfId="136" applyFill="1" applyBorder="1" applyAlignment="1" applyProtection="1">
      <alignment vertical="top" wrapText="1"/>
      <protection hidden="1"/>
    </xf>
    <xf numFmtId="0" fontId="2" fillId="35" borderId="16" xfId="136" applyFill="1" applyBorder="1" applyAlignment="1" applyProtection="1">
      <alignment horizontal="centerContinuous" vertical="top"/>
      <protection hidden="1"/>
    </xf>
    <xf numFmtId="0" fontId="2" fillId="35" borderId="15" xfId="136" applyFill="1" applyBorder="1" applyAlignment="1" applyProtection="1">
      <alignment horizontal="centerContinuous" vertical="top"/>
      <protection hidden="1"/>
    </xf>
    <xf numFmtId="0" fontId="35" fillId="35" borderId="15" xfId="136" applyFont="1" applyFill="1" applyBorder="1" applyAlignment="1" applyProtection="1">
      <alignment horizontal="centerContinuous" vertical="top"/>
      <protection hidden="1"/>
    </xf>
    <xf numFmtId="0" fontId="35" fillId="35" borderId="25" xfId="136" applyFont="1" applyFill="1" applyBorder="1" applyAlignment="1" applyProtection="1">
      <alignment horizontal="centerContinuous" vertical="top"/>
      <protection hidden="1"/>
    </xf>
    <xf numFmtId="0" fontId="2" fillId="35" borderId="26" xfId="136" applyFill="1" applyBorder="1" applyAlignment="1" applyProtection="1">
      <alignment horizontal="center" vertical="top"/>
      <protection hidden="1"/>
    </xf>
    <xf numFmtId="0" fontId="2" fillId="35" borderId="27" xfId="136" applyFill="1" applyBorder="1" applyAlignment="1" applyProtection="1">
      <alignment horizontal="center" vertical="top"/>
      <protection hidden="1"/>
    </xf>
    <xf numFmtId="0" fontId="2" fillId="35" borderId="28" xfId="136" applyFill="1" applyBorder="1" applyAlignment="1" applyProtection="1">
      <alignment horizontal="center" vertical="top"/>
      <protection hidden="1"/>
    </xf>
    <xf numFmtId="0" fontId="2" fillId="35" borderId="12" xfId="136" applyFill="1" applyBorder="1" applyAlignment="1" applyProtection="1">
      <alignment horizontal="center" vertical="top"/>
      <protection hidden="1"/>
    </xf>
    <xf numFmtId="0" fontId="2" fillId="35" borderId="16" xfId="136" applyFont="1" applyFill="1" applyBorder="1" applyAlignment="1" applyProtection="1">
      <alignment vertical="top"/>
      <protection hidden="1"/>
    </xf>
    <xf numFmtId="0" fontId="26" fillId="35" borderId="15" xfId="136" applyFont="1" applyFill="1" applyBorder="1" applyAlignment="1" applyProtection="1">
      <alignment horizontal="center" vertical="top"/>
      <protection hidden="1"/>
    </xf>
    <xf numFmtId="0" fontId="3" fillId="35" borderId="16" xfId="136" applyFont="1" applyFill="1" applyBorder="1" applyAlignment="1" applyProtection="1">
      <alignment vertical="center"/>
      <protection hidden="1"/>
    </xf>
    <xf numFmtId="0" fontId="2" fillId="35" borderId="15" xfId="136" applyFont="1" applyFill="1" applyBorder="1" applyAlignment="1" applyProtection="1">
      <alignment vertical="center"/>
      <protection hidden="1"/>
    </xf>
    <xf numFmtId="169" fontId="3" fillId="35" borderId="15" xfId="136" applyNumberFormat="1" applyFont="1" applyFill="1" applyBorder="1" applyAlignment="1" applyProtection="1">
      <alignment horizontal="left" vertical="center"/>
      <protection hidden="1"/>
    </xf>
    <xf numFmtId="0" fontId="2" fillId="35" borderId="15" xfId="136" applyFill="1" applyBorder="1" applyAlignment="1" applyProtection="1">
      <alignment vertical="center"/>
      <protection hidden="1"/>
    </xf>
    <xf numFmtId="182" fontId="3" fillId="35" borderId="15" xfId="136" applyNumberFormat="1" applyFont="1" applyFill="1" applyBorder="1" applyAlignment="1" applyProtection="1">
      <alignment horizontal="right" vertical="center"/>
      <protection hidden="1"/>
    </xf>
    <xf numFmtId="0" fontId="6" fillId="35" borderId="0" xfId="136" applyFont="1" applyFill="1" applyAlignment="1" applyProtection="1">
      <alignment horizontal="center" vertical="top"/>
      <protection hidden="1"/>
    </xf>
    <xf numFmtId="0" fontId="6" fillId="35" borderId="0" xfId="136" applyFont="1" applyFill="1" applyAlignment="1" applyProtection="1">
      <alignment vertical="top"/>
      <protection hidden="1"/>
    </xf>
    <xf numFmtId="0" fontId="2" fillId="35" borderId="0" xfId="136" applyFont="1" applyFill="1" applyAlignment="1" applyProtection="1">
      <alignment horizontal="center" vertical="top"/>
      <protection hidden="1"/>
    </xf>
    <xf numFmtId="0" fontId="0" fillId="0" borderId="0" xfId="0" applyAlignment="1" applyProtection="1">
      <alignment vertical="top"/>
      <protection hidden="1"/>
    </xf>
    <xf numFmtId="0" fontId="0" fillId="36" borderId="0" xfId="0" applyFill="1" applyAlignment="1" applyProtection="1">
      <alignment vertical="top"/>
      <protection hidden="1"/>
    </xf>
    <xf numFmtId="0" fontId="17" fillId="0" borderId="0" xfId="0" applyFont="1" applyProtection="1">
      <protection hidden="1"/>
    </xf>
    <xf numFmtId="0" fontId="21" fillId="35" borderId="0" xfId="114" applyFont="1" applyFill="1" applyAlignment="1" applyProtection="1">
      <alignment horizontal="center" vertical="center"/>
      <protection hidden="1"/>
    </xf>
    <xf numFmtId="0" fontId="57" fillId="37" borderId="24" xfId="114" applyFont="1" applyFill="1" applyBorder="1" applyAlignment="1" applyProtection="1">
      <alignment horizontal="centerContinuous" vertical="center"/>
      <protection hidden="1"/>
    </xf>
    <xf numFmtId="0" fontId="105" fillId="37" borderId="22" xfId="0" applyFont="1" applyFill="1" applyBorder="1" applyAlignment="1" applyProtection="1">
      <alignment horizontal="centerContinuous" vertical="center"/>
      <protection hidden="1"/>
    </xf>
    <xf numFmtId="0" fontId="105" fillId="37" borderId="23" xfId="0" applyFont="1" applyFill="1" applyBorder="1" applyAlignment="1" applyProtection="1">
      <alignment horizontal="center" vertical="center"/>
      <protection hidden="1"/>
    </xf>
    <xf numFmtId="0" fontId="47" fillId="35" borderId="0" xfId="0" applyFont="1" applyFill="1" applyBorder="1" applyAlignment="1" applyProtection="1">
      <alignment horizontal="center" vertical="center"/>
      <protection hidden="1"/>
    </xf>
    <xf numFmtId="0" fontId="0" fillId="35" borderId="0" xfId="0" applyFill="1" applyAlignment="1" applyProtection="1">
      <alignment vertical="top"/>
      <protection hidden="1"/>
    </xf>
    <xf numFmtId="0" fontId="22" fillId="35" borderId="0" xfId="0" applyFont="1" applyFill="1" applyAlignment="1" applyProtection="1">
      <alignment horizontal="center" vertical="top"/>
      <protection hidden="1"/>
    </xf>
    <xf numFmtId="0" fontId="20" fillId="35" borderId="0" xfId="0" applyFont="1" applyFill="1" applyAlignment="1" applyProtection="1">
      <alignment vertical="top"/>
      <protection hidden="1"/>
    </xf>
    <xf numFmtId="0" fontId="20" fillId="35" borderId="0" xfId="0" applyFont="1" applyFill="1" applyAlignment="1" applyProtection="1">
      <alignment horizontal="center" vertical="top"/>
      <protection hidden="1"/>
    </xf>
    <xf numFmtId="0" fontId="20" fillId="0" borderId="0" xfId="0" applyFont="1" applyAlignment="1" applyProtection="1">
      <alignment vertical="top"/>
      <protection hidden="1"/>
    </xf>
    <xf numFmtId="0" fontId="7" fillId="35" borderId="0" xfId="0" applyFont="1" applyFill="1" applyAlignment="1" applyProtection="1">
      <alignment vertical="top"/>
      <protection hidden="1"/>
    </xf>
    <xf numFmtId="0" fontId="11" fillId="35" borderId="0" xfId="0" applyFont="1" applyFill="1" applyAlignment="1" applyProtection="1">
      <alignment horizontal="center" vertical="top"/>
      <protection hidden="1"/>
    </xf>
    <xf numFmtId="0" fontId="7" fillId="0" borderId="0" xfId="0" applyFont="1" applyAlignment="1" applyProtection="1">
      <alignment vertical="top"/>
      <protection hidden="1"/>
    </xf>
    <xf numFmtId="0" fontId="20" fillId="35" borderId="0" xfId="0" applyFont="1" applyFill="1" applyAlignment="1" applyProtection="1">
      <alignment horizontal="left" vertical="top"/>
      <protection hidden="1"/>
    </xf>
    <xf numFmtId="0" fontId="0" fillId="35" borderId="0" xfId="0" applyFill="1" applyBorder="1" applyAlignment="1" applyProtection="1">
      <alignment vertical="top"/>
      <protection hidden="1"/>
    </xf>
    <xf numFmtId="0" fontId="0" fillId="35" borderId="0" xfId="0" applyFill="1" applyBorder="1" applyAlignment="1" applyProtection="1">
      <alignment horizontal="centerContinuous" vertical="top"/>
      <protection hidden="1"/>
    </xf>
    <xf numFmtId="0" fontId="0" fillId="35" borderId="29" xfId="0" applyFill="1" applyBorder="1" applyAlignment="1" applyProtection="1">
      <alignment horizontal="center" vertical="top"/>
      <protection hidden="1"/>
    </xf>
    <xf numFmtId="0" fontId="0" fillId="35" borderId="17" xfId="0" applyFill="1" applyBorder="1" applyAlignment="1" applyProtection="1">
      <alignment horizontal="center" vertical="top"/>
      <protection hidden="1"/>
    </xf>
    <xf numFmtId="0" fontId="0" fillId="35" borderId="18" xfId="0" applyFill="1" applyBorder="1" applyAlignment="1" applyProtection="1">
      <alignment horizontal="center" vertical="top"/>
      <protection hidden="1"/>
    </xf>
    <xf numFmtId="0" fontId="0" fillId="35" borderId="29" xfId="0" applyFill="1" applyBorder="1" applyAlignment="1" applyProtection="1">
      <alignment horizontal="left" vertical="top"/>
      <protection hidden="1"/>
    </xf>
    <xf numFmtId="0" fontId="0" fillId="35" borderId="17" xfId="0" applyFill="1" applyBorder="1" applyAlignment="1" applyProtection="1">
      <alignment horizontal="left" vertical="top"/>
      <protection hidden="1"/>
    </xf>
    <xf numFmtId="0" fontId="0" fillId="35" borderId="18" xfId="0" applyFill="1" applyBorder="1" applyAlignment="1" applyProtection="1">
      <alignment horizontal="left" vertical="top"/>
      <protection hidden="1"/>
    </xf>
    <xf numFmtId="0" fontId="0" fillId="35" borderId="30" xfId="0" applyFill="1" applyBorder="1" applyAlignment="1" applyProtection="1">
      <alignment horizontal="center" vertical="top"/>
      <protection hidden="1"/>
    </xf>
    <xf numFmtId="0" fontId="0" fillId="35" borderId="31" xfId="0" applyFill="1" applyBorder="1" applyAlignment="1" applyProtection="1">
      <alignment horizontal="center" vertical="top"/>
      <protection hidden="1"/>
    </xf>
    <xf numFmtId="0" fontId="0" fillId="35" borderId="32" xfId="0" applyFill="1" applyBorder="1" applyAlignment="1" applyProtection="1">
      <alignment horizontal="center" vertical="top"/>
      <protection hidden="1"/>
    </xf>
    <xf numFmtId="0" fontId="0" fillId="35" borderId="30" xfId="0" applyFill="1" applyBorder="1" applyAlignment="1" applyProtection="1">
      <alignment horizontal="left" vertical="top"/>
      <protection hidden="1"/>
    </xf>
    <xf numFmtId="0" fontId="0" fillId="35" borderId="31" xfId="0" applyFill="1" applyBorder="1" applyAlignment="1" applyProtection="1">
      <alignment horizontal="left" vertical="top"/>
      <protection hidden="1"/>
    </xf>
    <xf numFmtId="0" fontId="0" fillId="35" borderId="32" xfId="0" applyFill="1" applyBorder="1" applyAlignment="1" applyProtection="1">
      <alignment horizontal="left" vertical="top"/>
      <protection hidden="1"/>
    </xf>
    <xf numFmtId="0" fontId="0" fillId="35" borderId="29" xfId="0" applyFill="1" applyBorder="1" applyAlignment="1" applyProtection="1">
      <alignment vertical="top"/>
      <protection hidden="1"/>
    </xf>
    <xf numFmtId="0" fontId="0" fillId="35" borderId="18" xfId="0" applyFill="1" applyBorder="1" applyAlignment="1" applyProtection="1">
      <alignment vertical="top"/>
      <protection hidden="1"/>
    </xf>
    <xf numFmtId="0" fontId="0" fillId="35" borderId="33" xfId="0" applyFill="1" applyBorder="1" applyAlignment="1" applyProtection="1">
      <alignment horizontal="center" vertical="top"/>
      <protection hidden="1"/>
    </xf>
    <xf numFmtId="0" fontId="0" fillId="35" borderId="33" xfId="0" applyFill="1" applyBorder="1" applyAlignment="1" applyProtection="1">
      <alignment vertical="top"/>
      <protection hidden="1"/>
    </xf>
    <xf numFmtId="0" fontId="0" fillId="35" borderId="19" xfId="0" applyFill="1" applyBorder="1" applyAlignment="1" applyProtection="1">
      <alignment vertical="top"/>
      <protection hidden="1"/>
    </xf>
    <xf numFmtId="0" fontId="3" fillId="35" borderId="0" xfId="0" applyFont="1" applyFill="1" applyBorder="1" applyAlignment="1" applyProtection="1">
      <alignment vertical="top"/>
      <protection hidden="1"/>
    </xf>
    <xf numFmtId="169" fontId="3" fillId="35" borderId="0" xfId="0" applyNumberFormat="1" applyFont="1" applyFill="1" applyBorder="1" applyAlignment="1" applyProtection="1">
      <alignment horizontal="right" vertical="center"/>
      <protection hidden="1"/>
    </xf>
    <xf numFmtId="169" fontId="3" fillId="35" borderId="0" xfId="0" applyNumberFormat="1" applyFont="1" applyFill="1" applyBorder="1" applyAlignment="1" applyProtection="1">
      <alignment horizontal="left" vertical="center" shrinkToFit="1"/>
      <protection hidden="1"/>
    </xf>
    <xf numFmtId="14" fontId="0" fillId="35" borderId="33" xfId="0" applyNumberFormat="1" applyFill="1" applyBorder="1" applyAlignment="1" applyProtection="1">
      <alignment horizontal="center" vertical="top"/>
      <protection hidden="1"/>
    </xf>
    <xf numFmtId="0" fontId="8" fillId="35" borderId="0" xfId="0" applyFont="1" applyFill="1" applyBorder="1" applyAlignment="1" applyProtection="1">
      <alignment vertical="top"/>
      <protection hidden="1"/>
    </xf>
    <xf numFmtId="0" fontId="8" fillId="35" borderId="0" xfId="0" applyFont="1" applyFill="1" applyBorder="1" applyAlignment="1" applyProtection="1">
      <alignment vertical="top"/>
      <protection locked="0"/>
    </xf>
    <xf numFmtId="0" fontId="0" fillId="35" borderId="30" xfId="0" applyFill="1" applyBorder="1" applyAlignment="1" applyProtection="1">
      <alignment vertical="top"/>
      <protection hidden="1"/>
    </xf>
    <xf numFmtId="0" fontId="8" fillId="35" borderId="31" xfId="0" applyFont="1" applyFill="1" applyBorder="1" applyAlignment="1" applyProtection="1">
      <alignment vertical="top"/>
      <protection hidden="1"/>
    </xf>
    <xf numFmtId="0" fontId="8" fillId="35" borderId="31" xfId="0" applyFont="1" applyFill="1" applyBorder="1" applyAlignment="1" applyProtection="1">
      <alignment vertical="top"/>
      <protection locked="0"/>
    </xf>
    <xf numFmtId="0" fontId="0" fillId="35" borderId="32" xfId="0" applyFill="1" applyBorder="1" applyAlignment="1" applyProtection="1">
      <alignment vertical="top"/>
      <protection hidden="1"/>
    </xf>
    <xf numFmtId="169" fontId="3" fillId="35" borderId="31" xfId="0" applyNumberFormat="1" applyFont="1" applyFill="1" applyBorder="1" applyAlignment="1" applyProtection="1">
      <alignment horizontal="right" vertical="center"/>
      <protection hidden="1"/>
    </xf>
    <xf numFmtId="169" fontId="3" fillId="35" borderId="31" xfId="0" applyNumberFormat="1" applyFont="1" applyFill="1" applyBorder="1" applyAlignment="1" applyProtection="1">
      <alignment horizontal="left" vertical="center" shrinkToFit="1"/>
      <protection hidden="1"/>
    </xf>
    <xf numFmtId="0" fontId="0" fillId="35" borderId="31" xfId="0" applyFill="1" applyBorder="1" applyAlignment="1" applyProtection="1">
      <alignment vertical="top"/>
      <protection hidden="1"/>
    </xf>
    <xf numFmtId="0" fontId="0" fillId="35" borderId="0" xfId="0" applyFill="1" applyAlignment="1" applyProtection="1">
      <alignment horizontal="left" vertical="top"/>
      <protection hidden="1"/>
    </xf>
    <xf numFmtId="0" fontId="0" fillId="35" borderId="34" xfId="0" applyFill="1" applyBorder="1" applyAlignment="1" applyProtection="1">
      <alignment vertical="top"/>
      <protection hidden="1"/>
    </xf>
    <xf numFmtId="0" fontId="0" fillId="35" borderId="35" xfId="0" applyFill="1" applyBorder="1" applyAlignment="1" applyProtection="1">
      <alignment vertical="top"/>
      <protection hidden="1"/>
    </xf>
    <xf numFmtId="0" fontId="3" fillId="35" borderId="35" xfId="0" applyFont="1" applyFill="1" applyBorder="1" applyAlignment="1" applyProtection="1">
      <alignment horizontal="center" vertical="top"/>
      <protection hidden="1"/>
    </xf>
    <xf numFmtId="0" fontId="20" fillId="35" borderId="35" xfId="0" applyFont="1" applyFill="1" applyBorder="1" applyAlignment="1" applyProtection="1">
      <alignment vertical="top"/>
      <protection hidden="1"/>
    </xf>
    <xf numFmtId="0" fontId="0" fillId="35" borderId="36" xfId="0" applyFill="1" applyBorder="1" applyAlignment="1" applyProtection="1">
      <alignment vertical="top"/>
      <protection hidden="1"/>
    </xf>
    <xf numFmtId="0" fontId="0" fillId="35" borderId="0" xfId="0" applyFill="1" applyBorder="1" applyAlignment="1" applyProtection="1">
      <alignment horizontal="left" vertical="top" wrapText="1"/>
      <protection hidden="1"/>
    </xf>
    <xf numFmtId="14" fontId="0" fillId="35" borderId="14" xfId="0" applyNumberFormat="1" applyFill="1" applyBorder="1" applyAlignment="1" applyProtection="1">
      <alignment horizontal="center" vertical="top"/>
      <protection hidden="1"/>
    </xf>
    <xf numFmtId="0" fontId="0" fillId="35" borderId="0" xfId="0" applyFill="1" applyBorder="1" applyAlignment="1" applyProtection="1">
      <alignment horizontal="center" vertical="top"/>
      <protection hidden="1"/>
    </xf>
    <xf numFmtId="0" fontId="20" fillId="35" borderId="0" xfId="0" applyFont="1" applyFill="1" applyBorder="1" applyAlignment="1" applyProtection="1">
      <alignment horizontal="left"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0" fillId="35" borderId="0" xfId="0" applyFill="1" applyBorder="1" applyAlignment="1" applyProtection="1">
      <alignment horizontal="left" vertical="top"/>
      <protection hidden="1"/>
    </xf>
    <xf numFmtId="49" fontId="0" fillId="35" borderId="0" xfId="0" applyNumberFormat="1" applyFill="1" applyBorder="1" applyAlignment="1" applyProtection="1">
      <alignment horizontal="left" vertical="top"/>
      <protection hidden="1"/>
    </xf>
    <xf numFmtId="0" fontId="0" fillId="0" borderId="0" xfId="0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horizontal="left" vertical="top"/>
      <protection hidden="1"/>
    </xf>
    <xf numFmtId="49" fontId="0" fillId="35" borderId="0" xfId="0" applyNumberFormat="1" applyFill="1" applyBorder="1" applyAlignment="1" applyProtection="1">
      <alignment vertical="top"/>
      <protection hidden="1"/>
    </xf>
    <xf numFmtId="0" fontId="2" fillId="35" borderId="0" xfId="0" applyFont="1" applyFill="1" applyAlignment="1" applyProtection="1">
      <alignment vertical="top"/>
      <protection hidden="1"/>
    </xf>
    <xf numFmtId="49" fontId="2" fillId="35" borderId="0" xfId="0" applyNumberFormat="1" applyFont="1" applyFill="1" applyBorder="1" applyAlignment="1" applyProtection="1">
      <alignment vertical="top"/>
      <protection hidden="1"/>
    </xf>
    <xf numFmtId="0" fontId="2" fillId="35" borderId="0" xfId="0" applyFont="1" applyFill="1" applyBorder="1" applyAlignment="1" applyProtection="1">
      <alignment vertical="top"/>
      <protection hidden="1"/>
    </xf>
    <xf numFmtId="0" fontId="2" fillId="0" borderId="0" xfId="0" applyFont="1" applyBorder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20" fillId="35" borderId="0" xfId="0" applyFont="1" applyFill="1" applyBorder="1" applyAlignment="1" applyProtection="1">
      <alignment vertical="top"/>
      <protection hidden="1"/>
    </xf>
    <xf numFmtId="0" fontId="2" fillId="35" borderId="0" xfId="0" quotePrefix="1" applyFont="1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vertical="top"/>
      <protection hidden="1"/>
    </xf>
    <xf numFmtId="0" fontId="0" fillId="0" borderId="0" xfId="0" applyFill="1" applyAlignment="1" applyProtection="1">
      <alignment vertical="top"/>
      <protection hidden="1"/>
    </xf>
    <xf numFmtId="0" fontId="2" fillId="35" borderId="0" xfId="0" applyFont="1" applyFill="1" applyAlignment="1" applyProtection="1">
      <alignment vertical="center"/>
      <protection hidden="1"/>
    </xf>
    <xf numFmtId="0" fontId="7" fillId="35" borderId="0" xfId="0" quotePrefix="1" applyFont="1" applyFill="1" applyBorder="1" applyAlignment="1" applyProtection="1">
      <alignment vertical="center"/>
      <protection hidden="1"/>
    </xf>
    <xf numFmtId="0" fontId="7" fillId="35" borderId="0" xfId="0" applyFont="1" applyFill="1" applyBorder="1" applyAlignment="1" applyProtection="1">
      <alignment vertical="center"/>
      <protection hidden="1"/>
    </xf>
    <xf numFmtId="0" fontId="2" fillId="35" borderId="0" xfId="0" applyFont="1" applyFill="1" applyBorder="1" applyAlignment="1" applyProtection="1">
      <alignment vertical="center"/>
      <protection hidden="1"/>
    </xf>
    <xf numFmtId="0" fontId="26" fillId="35" borderId="0" xfId="0" applyFont="1" applyFill="1" applyBorder="1" applyAlignment="1" applyProtection="1">
      <alignment vertical="top"/>
      <protection hidden="1"/>
    </xf>
    <xf numFmtId="0" fontId="106" fillId="35" borderId="0" xfId="0" applyFont="1" applyFill="1" applyAlignment="1" applyProtection="1">
      <alignment vertical="top"/>
      <protection hidden="1"/>
    </xf>
    <xf numFmtId="0" fontId="106" fillId="35" borderId="0" xfId="0" applyFont="1" applyFill="1" applyBorder="1" applyAlignment="1" applyProtection="1">
      <alignment vertical="top"/>
      <protection hidden="1"/>
    </xf>
    <xf numFmtId="0" fontId="106" fillId="0" borderId="0" xfId="0" applyFont="1" applyBorder="1" applyAlignment="1" applyProtection="1">
      <alignment vertical="top"/>
      <protection hidden="1"/>
    </xf>
    <xf numFmtId="0" fontId="106" fillId="0" borderId="0" xfId="0" applyFont="1" applyAlignment="1" applyProtection="1">
      <alignment vertical="top"/>
      <protection hidden="1"/>
    </xf>
    <xf numFmtId="0" fontId="107" fillId="36" borderId="0" xfId="0" applyFont="1" applyFill="1" applyBorder="1" applyAlignment="1" applyProtection="1">
      <alignment horizontal="centerContinuous" vertical="top"/>
      <protection hidden="1"/>
    </xf>
    <xf numFmtId="0" fontId="108" fillId="36" borderId="0" xfId="0" applyFont="1" applyFill="1" applyBorder="1" applyAlignment="1" applyProtection="1">
      <alignment horizontal="centerContinuous" vertical="top"/>
      <protection hidden="1"/>
    </xf>
    <xf numFmtId="0" fontId="2" fillId="0" borderId="0" xfId="0" applyFont="1" applyFill="1" applyAlignment="1" applyProtection="1">
      <alignment vertical="top"/>
      <protection hidden="1"/>
    </xf>
    <xf numFmtId="0" fontId="17" fillId="35" borderId="0" xfId="0" applyFont="1" applyFill="1" applyProtection="1">
      <protection hidden="1"/>
    </xf>
    <xf numFmtId="0" fontId="22" fillId="35" borderId="0" xfId="114" applyFont="1" applyFill="1" applyBorder="1" applyAlignment="1" applyProtection="1">
      <alignment horizontal="center" vertical="center"/>
      <protection hidden="1"/>
    </xf>
    <xf numFmtId="0" fontId="22" fillId="35" borderId="0" xfId="0" applyFont="1" applyFill="1" applyBorder="1" applyAlignment="1" applyProtection="1">
      <alignment horizontal="center" vertical="center"/>
      <protection hidden="1"/>
    </xf>
    <xf numFmtId="0" fontId="20" fillId="0" borderId="0" xfId="0" applyFont="1" applyFill="1" applyAlignment="1" applyProtection="1">
      <alignment vertical="top"/>
      <protection hidden="1"/>
    </xf>
    <xf numFmtId="0" fontId="7" fillId="35" borderId="0" xfId="0" applyFont="1" applyFill="1" applyBorder="1" applyAlignment="1" applyProtection="1">
      <alignment vertical="top"/>
      <protection hidden="1"/>
    </xf>
    <xf numFmtId="0" fontId="7" fillId="35" borderId="0" xfId="0" applyFont="1" applyFill="1" applyBorder="1" applyAlignment="1" applyProtection="1">
      <alignment horizontal="center" vertical="top" wrapText="1"/>
      <protection hidden="1"/>
    </xf>
    <xf numFmtId="0" fontId="7" fillId="35" borderId="0" xfId="0" quotePrefix="1" applyFont="1" applyFill="1" applyBorder="1" applyAlignment="1" applyProtection="1">
      <alignment horizontal="left" vertical="center"/>
      <protection hidden="1"/>
    </xf>
    <xf numFmtId="0" fontId="7" fillId="35" borderId="0" xfId="0" applyFont="1" applyFill="1" applyBorder="1" applyAlignment="1" applyProtection="1">
      <alignment horizontal="center" vertical="center" wrapText="1"/>
      <protection hidden="1"/>
    </xf>
    <xf numFmtId="0" fontId="3" fillId="35" borderId="0" xfId="0" applyFont="1" applyFill="1" applyBorder="1" applyAlignment="1" applyProtection="1">
      <alignment vertical="center"/>
      <protection hidden="1"/>
    </xf>
    <xf numFmtId="0" fontId="17" fillId="35" borderId="0" xfId="0" applyFont="1" applyFill="1" applyBorder="1" applyAlignment="1" applyProtection="1">
      <alignment vertical="center"/>
      <protection hidden="1"/>
    </xf>
    <xf numFmtId="0" fontId="7" fillId="35" borderId="0" xfId="0" applyFont="1" applyFill="1" applyBorder="1" applyAlignment="1" applyProtection="1">
      <alignment horizontal="center" vertical="center"/>
      <protection hidden="1"/>
    </xf>
    <xf numFmtId="0" fontId="7" fillId="35" borderId="0" xfId="0" quotePrefix="1" applyFont="1" applyFill="1" applyBorder="1" applyAlignment="1" applyProtection="1">
      <alignment vertical="top"/>
      <protection hidden="1"/>
    </xf>
    <xf numFmtId="0" fontId="38" fillId="35" borderId="0" xfId="0" applyFont="1" applyFill="1" applyBorder="1" applyAlignment="1" applyProtection="1">
      <alignment vertical="top"/>
      <protection hidden="1"/>
    </xf>
    <xf numFmtId="0" fontId="2" fillId="35" borderId="0" xfId="0" applyFont="1" applyFill="1" applyBorder="1" applyAlignment="1" applyProtection="1">
      <alignment horizontal="center" vertical="top"/>
      <protection hidden="1"/>
    </xf>
    <xf numFmtId="0" fontId="7" fillId="35" borderId="0" xfId="0" applyFont="1" applyFill="1" applyBorder="1" applyAlignment="1" applyProtection="1">
      <alignment horizontal="center" vertical="top"/>
      <protection hidden="1"/>
    </xf>
    <xf numFmtId="0" fontId="11" fillId="35" borderId="0" xfId="0" applyFont="1" applyFill="1" applyBorder="1" applyAlignment="1" applyProtection="1">
      <alignment vertical="top"/>
      <protection hidden="1"/>
    </xf>
    <xf numFmtId="0" fontId="30" fillId="35" borderId="0" xfId="0" applyFont="1" applyFill="1" applyBorder="1" applyAlignment="1" applyProtection="1">
      <alignment horizontal="center" vertical="top"/>
      <protection locked="0"/>
    </xf>
    <xf numFmtId="0" fontId="7" fillId="35" borderId="0" xfId="0" applyFont="1" applyFill="1" applyBorder="1" applyAlignment="1" applyProtection="1">
      <alignment horizontal="right" vertical="top"/>
      <protection hidden="1"/>
    </xf>
    <xf numFmtId="0" fontId="81" fillId="35" borderId="0" xfId="0" quotePrefix="1" applyFont="1" applyFill="1" applyBorder="1" applyAlignment="1" applyProtection="1">
      <alignment vertical="top"/>
      <protection hidden="1"/>
    </xf>
    <xf numFmtId="0" fontId="81" fillId="35" borderId="0" xfId="0" applyFont="1" applyFill="1" applyBorder="1" applyAlignment="1" applyProtection="1">
      <alignment vertical="top"/>
      <protection hidden="1"/>
    </xf>
    <xf numFmtId="0" fontId="109" fillId="35" borderId="0" xfId="0" applyFont="1" applyFill="1" applyBorder="1" applyAlignment="1" applyProtection="1">
      <alignment vertical="top"/>
      <protection hidden="1"/>
    </xf>
    <xf numFmtId="0" fontId="6" fillId="35" borderId="0" xfId="0" applyFont="1" applyFill="1" applyBorder="1" applyAlignment="1" applyProtection="1">
      <alignment vertical="top"/>
      <protection hidden="1"/>
    </xf>
    <xf numFmtId="0" fontId="6" fillId="35" borderId="0" xfId="0" applyFont="1" applyFill="1" applyAlignment="1" applyProtection="1">
      <alignment vertical="top"/>
      <protection hidden="1"/>
    </xf>
    <xf numFmtId="0" fontId="16" fillId="35" borderId="0" xfId="0" applyFont="1" applyFill="1" applyBorder="1" applyAlignment="1" applyProtection="1">
      <alignment vertical="top"/>
      <protection hidden="1"/>
    </xf>
    <xf numFmtId="0" fontId="9" fillId="35" borderId="0" xfId="0" applyFont="1" applyFill="1" applyBorder="1" applyAlignment="1" applyProtection="1">
      <alignment vertical="top"/>
      <protection hidden="1"/>
    </xf>
    <xf numFmtId="0" fontId="9" fillId="35" borderId="0" xfId="0" applyFont="1" applyFill="1" applyBorder="1" applyAlignment="1" applyProtection="1">
      <alignment horizontal="right" vertical="center"/>
      <protection hidden="1"/>
    </xf>
    <xf numFmtId="0" fontId="16" fillId="35" borderId="0" xfId="0" applyFont="1" applyFill="1" applyBorder="1" applyAlignment="1" applyProtection="1">
      <alignment horizontal="right" vertical="center"/>
      <protection hidden="1"/>
    </xf>
    <xf numFmtId="0" fontId="26" fillId="35" borderId="0" xfId="0" applyFont="1" applyFill="1" applyAlignment="1" applyProtection="1">
      <alignment vertical="top"/>
      <protection hidden="1"/>
    </xf>
    <xf numFmtId="0" fontId="81" fillId="35" borderId="0" xfId="0" quotePrefix="1" applyFont="1" applyFill="1" applyBorder="1" applyAlignment="1" applyProtection="1">
      <alignment horizontal="left" vertical="top"/>
      <protection hidden="1"/>
    </xf>
    <xf numFmtId="0" fontId="98" fillId="35" borderId="0" xfId="0" applyFont="1" applyFill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horizontal="center" vertical="top"/>
      <protection hidden="1"/>
    </xf>
    <xf numFmtId="14" fontId="7" fillId="0" borderId="0" xfId="0" applyNumberFormat="1" applyFont="1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vertical="top" shrinkToFit="1"/>
      <protection hidden="1"/>
    </xf>
    <xf numFmtId="0" fontId="2" fillId="0" borderId="0" xfId="0" applyFont="1" applyFill="1" applyBorder="1" applyAlignment="1" applyProtection="1">
      <alignment horizontal="left" vertical="top"/>
      <protection hidden="1"/>
    </xf>
    <xf numFmtId="0" fontId="2" fillId="0" borderId="0" xfId="0" applyFont="1" applyFill="1" applyBorder="1" applyAlignment="1" applyProtection="1">
      <alignment horizontal="center" vertical="top"/>
      <protection hidden="1"/>
    </xf>
    <xf numFmtId="0" fontId="20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Alignment="1" applyProtection="1">
      <alignment vertical="top"/>
      <protection hidden="1"/>
    </xf>
    <xf numFmtId="0" fontId="0" fillId="35" borderId="0" xfId="0" applyFill="1" applyBorder="1" applyAlignment="1" applyProtection="1">
      <alignment vertical="center"/>
      <protection hidden="1"/>
    </xf>
    <xf numFmtId="0" fontId="7" fillId="35" borderId="0" xfId="0" applyFont="1" applyFill="1" applyBorder="1" applyAlignment="1" applyProtection="1">
      <alignment horizontal="left" vertical="top"/>
      <protection hidden="1"/>
    </xf>
    <xf numFmtId="0" fontId="3" fillId="35" borderId="0" xfId="0" applyFont="1" applyFill="1" applyBorder="1" applyAlignment="1" applyProtection="1">
      <alignment vertical="top"/>
    </xf>
    <xf numFmtId="0" fontId="14" fillId="35" borderId="0" xfId="0" applyFont="1" applyFill="1" applyBorder="1" applyAlignment="1" applyProtection="1">
      <alignment vertical="top"/>
      <protection locked="0"/>
    </xf>
    <xf numFmtId="0" fontId="14" fillId="35" borderId="0" xfId="0" applyFont="1" applyFill="1" applyBorder="1" applyAlignment="1" applyProtection="1">
      <alignment vertical="center" shrinkToFit="1"/>
      <protection locked="0"/>
    </xf>
    <xf numFmtId="0" fontId="3" fillId="35" borderId="0" xfId="0" applyFont="1" applyFill="1" applyBorder="1" applyAlignment="1" applyProtection="1">
      <alignment vertical="center" shrinkToFit="1"/>
      <protection hidden="1"/>
    </xf>
    <xf numFmtId="0" fontId="2" fillId="35" borderId="0" xfId="0" applyFont="1" applyFill="1" applyBorder="1" applyAlignment="1" applyProtection="1">
      <alignment vertical="center" shrinkToFit="1"/>
      <protection hidden="1"/>
    </xf>
    <xf numFmtId="0" fontId="21" fillId="0" borderId="0" xfId="114" applyFont="1" applyFill="1" applyAlignment="1" applyProtection="1">
      <alignment horizontal="center" vertical="center"/>
      <protection hidden="1"/>
    </xf>
    <xf numFmtId="0" fontId="57" fillId="0" borderId="0" xfId="114" applyFont="1" applyFill="1" applyBorder="1" applyAlignment="1" applyProtection="1">
      <alignment horizontal="centerContinuous" vertical="center"/>
      <protection hidden="1"/>
    </xf>
    <xf numFmtId="0" fontId="105" fillId="0" borderId="0" xfId="0" applyFont="1" applyFill="1" applyBorder="1" applyAlignment="1" applyProtection="1">
      <alignment horizontal="centerContinuous" vertical="center"/>
      <protection hidden="1"/>
    </xf>
    <xf numFmtId="0" fontId="105" fillId="0" borderId="0" xfId="0" applyFont="1" applyFill="1" applyBorder="1" applyAlignment="1" applyProtection="1">
      <alignment horizontal="center" vertical="center"/>
      <protection hidden="1"/>
    </xf>
    <xf numFmtId="0" fontId="47" fillId="0" borderId="0" xfId="0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Protection="1">
      <protection hidden="1"/>
    </xf>
    <xf numFmtId="0" fontId="3" fillId="35" borderId="0" xfId="0" applyFont="1" applyFill="1" applyBorder="1" applyAlignment="1" applyProtection="1">
      <alignment vertical="top"/>
      <protection locked="0"/>
    </xf>
    <xf numFmtId="0" fontId="17" fillId="35" borderId="0" xfId="0" applyFont="1" applyFill="1" applyBorder="1" applyAlignment="1" applyProtection="1">
      <alignment horizontal="center" vertical="top" wrapText="1"/>
      <protection hidden="1"/>
    </xf>
    <xf numFmtId="0" fontId="3" fillId="35" borderId="0" xfId="0" applyFont="1" applyFill="1" applyAlignment="1" applyProtection="1">
      <alignment vertical="center"/>
      <protection hidden="1"/>
    </xf>
    <xf numFmtId="0" fontId="7" fillId="35" borderId="0" xfId="0" quotePrefix="1" applyFont="1" applyFill="1" applyBorder="1" applyAlignment="1" applyProtection="1">
      <alignment horizontal="center" vertical="center"/>
      <protection hidden="1"/>
    </xf>
    <xf numFmtId="0" fontId="34" fillId="35" borderId="0" xfId="0" applyFont="1" applyFill="1" applyBorder="1" applyAlignment="1" applyProtection="1">
      <alignment vertical="top"/>
      <protection hidden="1"/>
    </xf>
    <xf numFmtId="0" fontId="34" fillId="35" borderId="0" xfId="0" quotePrefix="1" applyFont="1" applyFill="1" applyBorder="1" applyAlignment="1" applyProtection="1">
      <alignment vertical="top"/>
      <protection hidden="1"/>
    </xf>
    <xf numFmtId="0" fontId="34" fillId="35" borderId="0" xfId="0" applyFont="1" applyFill="1" applyBorder="1" applyAlignment="1" applyProtection="1">
      <alignment horizontal="center" vertical="top"/>
      <protection hidden="1"/>
    </xf>
    <xf numFmtId="0" fontId="34" fillId="35" borderId="0" xfId="0" applyFont="1" applyFill="1" applyBorder="1" applyAlignment="1" applyProtection="1">
      <alignment vertical="center"/>
      <protection hidden="1"/>
    </xf>
    <xf numFmtId="0" fontId="53" fillId="35" borderId="0" xfId="0" applyFont="1" applyFill="1" applyBorder="1" applyAlignment="1" applyProtection="1">
      <alignment vertical="center"/>
      <protection hidden="1"/>
    </xf>
    <xf numFmtId="0" fontId="19" fillId="35" borderId="15" xfId="133" applyFont="1" applyFill="1" applyBorder="1" applyAlignment="1" applyProtection="1">
      <alignment vertical="center"/>
      <protection hidden="1"/>
    </xf>
    <xf numFmtId="0" fontId="2" fillId="35" borderId="0" xfId="133" applyFont="1" applyFill="1" applyAlignment="1" applyProtection="1">
      <alignment vertical="top"/>
      <protection hidden="1"/>
    </xf>
    <xf numFmtId="0" fontId="2" fillId="35" borderId="12" xfId="133" applyFont="1" applyFill="1" applyBorder="1" applyAlignment="1" applyProtection="1">
      <alignment horizontal="center" vertical="top"/>
      <protection hidden="1"/>
    </xf>
    <xf numFmtId="0" fontId="2" fillId="0" borderId="25" xfId="133" applyFont="1" applyBorder="1" applyAlignment="1" applyProtection="1">
      <alignment vertical="top"/>
      <protection hidden="1"/>
    </xf>
    <xf numFmtId="0" fontId="2" fillId="35" borderId="0" xfId="133" applyFont="1" applyFill="1" applyBorder="1" applyAlignment="1" applyProtection="1">
      <alignment vertical="top"/>
      <protection hidden="1"/>
    </xf>
    <xf numFmtId="0" fontId="3" fillId="35" borderId="0" xfId="133" applyFont="1" applyFill="1" applyBorder="1" applyAlignment="1" applyProtection="1">
      <alignment vertical="top"/>
      <protection hidden="1"/>
    </xf>
    <xf numFmtId="0" fontId="3" fillId="35" borderId="0" xfId="0" applyFont="1" applyFill="1" applyBorder="1" applyAlignment="1" applyProtection="1">
      <alignment horizontal="left" vertical="top"/>
      <protection hidden="1"/>
    </xf>
    <xf numFmtId="0" fontId="2" fillId="0" borderId="12" xfId="133" applyFont="1" applyFill="1" applyBorder="1" applyAlignment="1" applyProtection="1">
      <alignment horizontal="center" vertical="top"/>
      <protection hidden="1"/>
    </xf>
    <xf numFmtId="0" fontId="0" fillId="35" borderId="0" xfId="0" applyFill="1" applyBorder="1" applyAlignment="1" applyProtection="1">
      <alignment horizontal="right" vertical="center" indent="1"/>
      <protection hidden="1"/>
    </xf>
    <xf numFmtId="0" fontId="19" fillId="35" borderId="34" xfId="0" applyFont="1" applyFill="1" applyBorder="1" applyAlignment="1" applyProtection="1">
      <alignment horizontal="centerContinuous" vertical="center"/>
      <protection hidden="1"/>
    </xf>
    <xf numFmtId="0" fontId="19" fillId="35" borderId="35" xfId="0" applyFont="1" applyFill="1" applyBorder="1" applyAlignment="1" applyProtection="1">
      <alignment horizontal="centerContinuous" vertical="center"/>
      <protection hidden="1"/>
    </xf>
    <xf numFmtId="0" fontId="19" fillId="35" borderId="36" xfId="0" applyFont="1" applyFill="1" applyBorder="1" applyAlignment="1" applyProtection="1">
      <alignment horizontal="centerContinuous" vertical="center"/>
      <protection hidden="1"/>
    </xf>
    <xf numFmtId="0" fontId="2" fillId="35" borderId="35" xfId="0" applyFont="1" applyFill="1" applyBorder="1" applyAlignment="1" applyProtection="1">
      <alignment horizontal="centerContinuous" vertical="center"/>
      <protection hidden="1"/>
    </xf>
    <xf numFmtId="0" fontId="2" fillId="35" borderId="36" xfId="0" applyFont="1" applyFill="1" applyBorder="1" applyAlignment="1" applyProtection="1">
      <alignment horizontal="centerContinuous" vertical="center"/>
      <protection hidden="1"/>
    </xf>
    <xf numFmtId="0" fontId="0" fillId="35" borderId="35" xfId="0" applyFill="1" applyBorder="1" applyAlignment="1" applyProtection="1">
      <alignment horizontal="centerContinuous" vertical="center"/>
      <protection hidden="1"/>
    </xf>
    <xf numFmtId="0" fontId="0" fillId="35" borderId="36" xfId="0" applyFill="1" applyBorder="1" applyAlignment="1" applyProtection="1">
      <alignment horizontal="centerContinuous" vertical="center"/>
      <protection hidden="1"/>
    </xf>
    <xf numFmtId="0" fontId="0" fillId="35" borderId="35" xfId="0" applyFill="1" applyBorder="1" applyAlignment="1" applyProtection="1">
      <alignment horizontal="right" vertical="center" indent="1"/>
      <protection hidden="1"/>
    </xf>
    <xf numFmtId="0" fontId="7" fillId="35" borderId="0" xfId="0" applyFont="1" applyFill="1" applyBorder="1" applyAlignment="1" applyProtection="1">
      <alignment vertical="center" wrapText="1"/>
      <protection hidden="1"/>
    </xf>
    <xf numFmtId="0" fontId="0" fillId="35" borderId="0" xfId="0" applyFill="1" applyAlignment="1">
      <alignment vertical="center" wrapText="1"/>
    </xf>
    <xf numFmtId="0" fontId="22" fillId="36" borderId="0" xfId="0" applyFont="1" applyFill="1" applyBorder="1" applyAlignment="1" applyProtection="1">
      <alignment horizontal="centerContinuous" vertical="center"/>
      <protection hidden="1"/>
    </xf>
    <xf numFmtId="0" fontId="2" fillId="35" borderId="0" xfId="0" applyFont="1" applyFill="1" applyBorder="1" applyAlignment="1" applyProtection="1">
      <alignment vertical="top"/>
      <protection locked="0"/>
    </xf>
    <xf numFmtId="1" fontId="19" fillId="35" borderId="0" xfId="0" applyNumberFormat="1" applyFont="1" applyFill="1" applyBorder="1" applyAlignment="1" applyProtection="1">
      <alignment horizontal="left" vertical="center"/>
    </xf>
    <xf numFmtId="0" fontId="34" fillId="35" borderId="25" xfId="133" applyFill="1" applyBorder="1" applyAlignment="1" applyProtection="1">
      <alignment vertical="top"/>
      <protection hidden="1"/>
    </xf>
    <xf numFmtId="0" fontId="17" fillId="35" borderId="25" xfId="136" quotePrefix="1" applyFont="1" applyFill="1" applyBorder="1" applyAlignment="1" applyProtection="1">
      <alignment horizontal="left" vertical="center" wrapText="1"/>
      <protection hidden="1"/>
    </xf>
    <xf numFmtId="0" fontId="19" fillId="35" borderId="16" xfId="133" applyFont="1" applyFill="1" applyBorder="1" applyAlignment="1" applyProtection="1">
      <alignment vertical="center"/>
      <protection hidden="1"/>
    </xf>
    <xf numFmtId="0" fontId="26" fillId="35" borderId="15" xfId="133" applyFont="1" applyFill="1" applyBorder="1" applyAlignment="1" applyProtection="1">
      <alignment vertical="top"/>
      <protection hidden="1"/>
    </xf>
    <xf numFmtId="0" fontId="7" fillId="35" borderId="0" xfId="0" applyFont="1" applyFill="1" applyBorder="1" applyAlignment="1" applyProtection="1">
      <alignment horizontal="left" vertical="top"/>
      <protection locked="0"/>
    </xf>
    <xf numFmtId="0" fontId="26" fillId="35" borderId="0" xfId="133" applyNumberFormat="1" applyFont="1" applyFill="1" applyBorder="1" applyAlignment="1" applyProtection="1">
      <alignment horizontal="right" vertical="top" shrinkToFit="1"/>
      <protection hidden="1"/>
    </xf>
    <xf numFmtId="0" fontId="44" fillId="35" borderId="0" xfId="133" applyFont="1" applyFill="1" applyBorder="1" applyAlignment="1" applyProtection="1">
      <alignment horizontal="left" vertical="top"/>
      <protection hidden="1"/>
    </xf>
    <xf numFmtId="0" fontId="26" fillId="35" borderId="0" xfId="133" applyFont="1" applyFill="1" applyBorder="1" applyAlignment="1" applyProtection="1">
      <alignment horizontal="left" vertical="top" wrapText="1"/>
      <protection hidden="1"/>
    </xf>
    <xf numFmtId="9" fontId="44" fillId="35" borderId="0" xfId="133" applyNumberFormat="1" applyFont="1" applyFill="1" applyBorder="1" applyAlignment="1" applyProtection="1">
      <alignment horizontal="right" vertical="top" shrinkToFit="1"/>
      <protection locked="0"/>
    </xf>
    <xf numFmtId="0" fontId="34" fillId="35" borderId="37" xfId="133" applyFill="1" applyBorder="1" applyAlignment="1" applyProtection="1">
      <alignment vertical="top"/>
      <protection hidden="1"/>
    </xf>
    <xf numFmtId="0" fontId="34" fillId="35" borderId="21" xfId="133" applyFill="1" applyBorder="1" applyAlignment="1" applyProtection="1">
      <alignment vertical="top"/>
      <protection hidden="1"/>
    </xf>
    <xf numFmtId="0" fontId="34" fillId="35" borderId="21" xfId="133" applyFill="1" applyBorder="1" applyAlignment="1" applyProtection="1">
      <alignment vertical="top" wrapText="1"/>
      <protection hidden="1"/>
    </xf>
    <xf numFmtId="9" fontId="34" fillId="35" borderId="21" xfId="133" applyNumberFormat="1" applyFill="1" applyBorder="1" applyAlignment="1" applyProtection="1">
      <alignment horizontal="center" vertical="top"/>
      <protection hidden="1"/>
    </xf>
    <xf numFmtId="9" fontId="3" fillId="35" borderId="21" xfId="133" applyNumberFormat="1" applyFont="1" applyFill="1" applyBorder="1" applyAlignment="1" applyProtection="1">
      <alignment horizontal="right" vertical="top"/>
      <protection hidden="1"/>
    </xf>
    <xf numFmtId="0" fontId="38" fillId="35" borderId="31" xfId="138" applyFont="1" applyFill="1" applyBorder="1" applyAlignment="1" applyProtection="1">
      <alignment horizontal="left" vertical="top" wrapText="1"/>
      <protection hidden="1"/>
    </xf>
    <xf numFmtId="0" fontId="38" fillId="35" borderId="32" xfId="138" applyFont="1" applyFill="1" applyBorder="1" applyAlignment="1" applyProtection="1">
      <alignment horizontal="left" vertical="top" wrapText="1"/>
      <protection hidden="1"/>
    </xf>
    <xf numFmtId="0" fontId="17" fillId="36" borderId="0" xfId="138" applyFont="1" applyFill="1" applyBorder="1" applyAlignment="1" applyProtection="1">
      <alignment horizontal="center" vertical="top"/>
      <protection hidden="1"/>
    </xf>
    <xf numFmtId="0" fontId="26" fillId="35" borderId="0" xfId="138" applyFont="1" applyFill="1" applyBorder="1" applyAlignment="1" applyProtection="1">
      <alignment vertical="center"/>
      <protection hidden="1"/>
    </xf>
    <xf numFmtId="0" fontId="0" fillId="35" borderId="13" xfId="0" applyFill="1" applyBorder="1" applyAlignment="1" applyProtection="1">
      <alignment horizontal="center" vertical="top" wrapText="1"/>
      <protection hidden="1"/>
    </xf>
    <xf numFmtId="0" fontId="0" fillId="35" borderId="14" xfId="0" applyFill="1" applyBorder="1" applyAlignment="1" applyProtection="1">
      <alignment horizontal="center" vertical="top" wrapText="1"/>
      <protection hidden="1"/>
    </xf>
    <xf numFmtId="0" fontId="4" fillId="0" borderId="12" xfId="133" applyFont="1" applyFill="1" applyBorder="1" applyAlignment="1" applyProtection="1">
      <alignment horizontal="center" vertical="top"/>
      <protection hidden="1"/>
    </xf>
    <xf numFmtId="18" fontId="4" fillId="35" borderId="26" xfId="133" applyNumberFormat="1" applyFont="1" applyFill="1" applyBorder="1" applyAlignment="1" applyProtection="1">
      <alignment horizontal="center" vertical="top"/>
      <protection hidden="1"/>
    </xf>
    <xf numFmtId="0" fontId="4" fillId="35" borderId="17" xfId="133" applyFont="1" applyFill="1" applyBorder="1" applyAlignment="1" applyProtection="1">
      <alignment vertical="top" wrapText="1"/>
      <protection hidden="1"/>
    </xf>
    <xf numFmtId="0" fontId="4" fillId="35" borderId="17" xfId="133" applyFont="1" applyFill="1" applyBorder="1" applyAlignment="1" applyProtection="1">
      <alignment vertical="top"/>
      <protection hidden="1"/>
    </xf>
    <xf numFmtId="0" fontId="34" fillId="35" borderId="18" xfId="133" applyFill="1" applyBorder="1" applyAlignment="1" applyProtection="1">
      <alignment vertical="top"/>
      <protection hidden="1"/>
    </xf>
    <xf numFmtId="18" fontId="4" fillId="35" borderId="28" xfId="133" applyNumberFormat="1" applyFont="1" applyFill="1" applyBorder="1" applyAlignment="1" applyProtection="1">
      <alignment horizontal="center" vertical="top"/>
      <protection hidden="1"/>
    </xf>
    <xf numFmtId="0" fontId="4" fillId="35" borderId="30" xfId="133" applyFont="1" applyFill="1" applyBorder="1" applyAlignment="1" applyProtection="1">
      <alignment vertical="top"/>
      <protection hidden="1"/>
    </xf>
    <xf numFmtId="0" fontId="4" fillId="35" borderId="31" xfId="133" applyFont="1" applyFill="1" applyBorder="1" applyAlignment="1" applyProtection="1">
      <alignment vertical="top" wrapText="1"/>
      <protection hidden="1"/>
    </xf>
    <xf numFmtId="0" fontId="4" fillId="35" borderId="31" xfId="133" applyFont="1" applyFill="1" applyBorder="1" applyAlignment="1" applyProtection="1">
      <alignment vertical="top"/>
      <protection hidden="1"/>
    </xf>
    <xf numFmtId="0" fontId="4" fillId="35" borderId="31" xfId="133" quotePrefix="1" applyFont="1" applyFill="1" applyBorder="1" applyAlignment="1" applyProtection="1">
      <alignment vertical="top"/>
      <protection hidden="1"/>
    </xf>
    <xf numFmtId="0" fontId="34" fillId="35" borderId="32" xfId="133" applyFill="1" applyBorder="1" applyAlignment="1" applyProtection="1">
      <alignment vertical="top"/>
      <protection hidden="1"/>
    </xf>
    <xf numFmtId="0" fontId="4" fillId="35" borderId="26" xfId="133" applyFont="1" applyFill="1" applyBorder="1" applyAlignment="1" applyProtection="1">
      <alignment horizontal="center" vertical="top"/>
      <protection hidden="1"/>
    </xf>
    <xf numFmtId="0" fontId="4" fillId="35" borderId="28" xfId="133" applyFont="1" applyFill="1" applyBorder="1" applyAlignment="1" applyProtection="1">
      <alignment horizontal="center" vertical="top"/>
      <protection hidden="1"/>
    </xf>
    <xf numFmtId="0" fontId="11" fillId="35" borderId="16" xfId="133" applyNumberFormat="1" applyFont="1" applyFill="1" applyBorder="1" applyAlignment="1" applyProtection="1">
      <alignment horizontal="right" vertical="center" shrinkToFit="1"/>
    </xf>
    <xf numFmtId="0" fontId="36" fillId="35" borderId="16" xfId="133" applyNumberFormat="1" applyFont="1" applyFill="1" applyBorder="1" applyAlignment="1" applyProtection="1">
      <alignment horizontal="right" vertical="center" shrinkToFit="1"/>
    </xf>
    <xf numFmtId="0" fontId="14" fillId="35" borderId="33" xfId="133" applyNumberFormat="1" applyFont="1" applyFill="1" applyBorder="1" applyAlignment="1" applyProtection="1">
      <alignment horizontal="right" vertical="center" shrinkToFit="1"/>
    </xf>
    <xf numFmtId="0" fontId="14" fillId="35" borderId="19" xfId="133" applyNumberFormat="1" applyFont="1" applyFill="1" applyBorder="1" applyAlignment="1" applyProtection="1">
      <alignment horizontal="right" vertical="center" shrinkToFit="1"/>
    </xf>
    <xf numFmtId="0" fontId="14" fillId="35" borderId="0" xfId="133" applyNumberFormat="1" applyFont="1" applyFill="1" applyBorder="1" applyAlignment="1" applyProtection="1">
      <alignment horizontal="right" vertical="center" shrinkToFit="1"/>
    </xf>
    <xf numFmtId="0" fontId="7" fillId="35" borderId="15" xfId="136" applyFont="1" applyFill="1" applyBorder="1" applyAlignment="1" applyProtection="1">
      <alignment horizontal="center" vertical="center" wrapText="1"/>
      <protection hidden="1"/>
    </xf>
    <xf numFmtId="0" fontId="2" fillId="35" borderId="12" xfId="133" applyFont="1" applyFill="1" applyBorder="1" applyAlignment="1" applyProtection="1">
      <alignment horizontal="center" vertical="center"/>
      <protection hidden="1"/>
    </xf>
    <xf numFmtId="0" fontId="2" fillId="35" borderId="16" xfId="133" applyFont="1" applyFill="1" applyBorder="1" applyAlignment="1" applyProtection="1">
      <alignment vertical="center"/>
      <protection hidden="1"/>
    </xf>
    <xf numFmtId="0" fontId="2" fillId="35" borderId="15" xfId="133" applyFont="1" applyFill="1" applyBorder="1" applyAlignment="1" applyProtection="1">
      <alignment vertical="center"/>
      <protection hidden="1"/>
    </xf>
    <xf numFmtId="0" fontId="34" fillId="35" borderId="15" xfId="133" applyFont="1" applyFill="1" applyBorder="1" applyAlignment="1" applyProtection="1">
      <alignment vertical="center"/>
      <protection hidden="1"/>
    </xf>
    <xf numFmtId="0" fontId="34" fillId="35" borderId="15" xfId="133" applyFont="1" applyFill="1" applyBorder="1" applyAlignment="1" applyProtection="1">
      <alignment vertical="top"/>
      <protection hidden="1"/>
    </xf>
    <xf numFmtId="0" fontId="34" fillId="0" borderId="25" xfId="133" applyFont="1" applyBorder="1" applyAlignment="1" applyProtection="1">
      <alignment vertical="top"/>
      <protection hidden="1"/>
    </xf>
    <xf numFmtId="0" fontId="2" fillId="35" borderId="15" xfId="133" applyFont="1" applyFill="1" applyBorder="1" applyAlignment="1" applyProtection="1">
      <alignment vertical="top"/>
      <protection hidden="1"/>
    </xf>
    <xf numFmtId="0" fontId="34" fillId="35" borderId="16" xfId="133" applyNumberFormat="1" applyFont="1" applyFill="1" applyBorder="1" applyAlignment="1" applyProtection="1">
      <alignment horizontal="right" vertical="center" shrinkToFit="1"/>
    </xf>
    <xf numFmtId="0" fontId="2" fillId="35" borderId="33" xfId="136" applyFill="1" applyBorder="1" applyAlignment="1" applyProtection="1">
      <alignment horizontal="right" vertical="top" indent="1"/>
      <protection hidden="1"/>
    </xf>
    <xf numFmtId="0" fontId="2" fillId="35" borderId="0" xfId="136" applyFill="1" applyBorder="1" applyAlignment="1" applyProtection="1">
      <alignment horizontal="right" vertical="top" indent="1"/>
      <protection hidden="1"/>
    </xf>
    <xf numFmtId="0" fontId="2" fillId="35" borderId="19" xfId="136" applyFill="1" applyBorder="1" applyAlignment="1" applyProtection="1">
      <alignment horizontal="right" vertical="top" indent="1"/>
      <protection hidden="1"/>
    </xf>
    <xf numFmtId="0" fontId="43" fillId="35" borderId="16" xfId="138" applyFont="1" applyFill="1" applyBorder="1" applyAlignment="1" applyProtection="1">
      <alignment horizontal="left" vertical="top"/>
      <protection hidden="1"/>
    </xf>
    <xf numFmtId="0" fontId="2" fillId="35" borderId="25" xfId="133" applyFont="1" applyFill="1" applyBorder="1" applyAlignment="1" applyProtection="1">
      <alignment vertical="top"/>
      <protection hidden="1"/>
    </xf>
    <xf numFmtId="0" fontId="19" fillId="35" borderId="1" xfId="133" applyNumberFormat="1" applyFont="1" applyFill="1" applyBorder="1" applyAlignment="1" applyProtection="1">
      <alignment vertical="center"/>
      <protection hidden="1"/>
    </xf>
    <xf numFmtId="0" fontId="17" fillId="35" borderId="1" xfId="138" applyFont="1" applyFill="1" applyBorder="1" applyAlignment="1" applyProtection="1">
      <alignment horizontal="centerContinuous" vertical="center" wrapText="1"/>
      <protection hidden="1"/>
    </xf>
    <xf numFmtId="0" fontId="100" fillId="35" borderId="1" xfId="133" applyNumberFormat="1" applyFont="1" applyFill="1" applyBorder="1" applyAlignment="1" applyProtection="1">
      <alignment horizontal="centerContinuous" vertical="center" wrapText="1"/>
      <protection hidden="1"/>
    </xf>
    <xf numFmtId="0" fontId="17" fillId="35" borderId="1" xfId="138" applyFont="1" applyFill="1" applyBorder="1" applyAlignment="1" applyProtection="1">
      <alignment horizontal="centerContinuous" vertical="center"/>
      <protection hidden="1"/>
    </xf>
    <xf numFmtId="0" fontId="17" fillId="35" borderId="13" xfId="138" applyFont="1" applyFill="1" applyBorder="1" applyAlignment="1" applyProtection="1">
      <alignment horizontal="centerContinuous" vertical="center"/>
      <protection hidden="1"/>
    </xf>
    <xf numFmtId="0" fontId="0" fillId="35" borderId="0" xfId="0" applyFill="1"/>
    <xf numFmtId="0" fontId="17" fillId="35" borderId="15" xfId="136" applyFont="1" applyFill="1" applyBorder="1" applyAlignment="1" applyProtection="1">
      <alignment vertical="center"/>
      <protection hidden="1"/>
    </xf>
    <xf numFmtId="0" fontId="26" fillId="35" borderId="15" xfId="136" applyFont="1" applyFill="1" applyBorder="1" applyAlignment="1" applyProtection="1">
      <alignment horizontal="center" vertical="center"/>
      <protection hidden="1"/>
    </xf>
    <xf numFmtId="0" fontId="2" fillId="35" borderId="15" xfId="136" applyFont="1" applyFill="1" applyBorder="1" applyAlignment="1" applyProtection="1">
      <alignment horizontal="center" vertical="center"/>
      <protection hidden="1"/>
    </xf>
    <xf numFmtId="0" fontId="6" fillId="35" borderId="15" xfId="136" applyFont="1" applyFill="1" applyBorder="1" applyAlignment="1" applyProtection="1">
      <alignment horizontal="left" vertical="center"/>
      <protection hidden="1"/>
    </xf>
    <xf numFmtId="9" fontId="7" fillId="35" borderId="15" xfId="136" applyNumberFormat="1" applyFont="1" applyFill="1" applyBorder="1" applyAlignment="1" applyProtection="1">
      <alignment horizontal="center" vertical="center"/>
      <protection hidden="1"/>
    </xf>
    <xf numFmtId="0" fontId="26" fillId="35" borderId="15" xfId="136" applyNumberFormat="1" applyFont="1" applyFill="1" applyBorder="1" applyAlignment="1" applyProtection="1">
      <alignment horizontal="center" vertical="center"/>
      <protection hidden="1"/>
    </xf>
    <xf numFmtId="0" fontId="2" fillId="0" borderId="17" xfId="136" applyBorder="1" applyAlignment="1" applyProtection="1">
      <alignment vertical="top"/>
      <protection hidden="1"/>
    </xf>
    <xf numFmtId="0" fontId="7" fillId="35" borderId="15" xfId="136" applyFont="1" applyFill="1" applyBorder="1" applyAlignment="1" applyProtection="1">
      <alignment horizontal="center" vertical="center"/>
      <protection hidden="1"/>
    </xf>
    <xf numFmtId="0" fontId="26" fillId="35" borderId="25" xfId="136" applyNumberFormat="1" applyFont="1" applyFill="1" applyBorder="1" applyAlignment="1" applyProtection="1">
      <alignment horizontal="center" vertical="center"/>
      <protection hidden="1"/>
    </xf>
    <xf numFmtId="0" fontId="2" fillId="35" borderId="12" xfId="136" applyFont="1" applyFill="1" applyBorder="1" applyAlignment="1" applyProtection="1">
      <alignment horizontal="center" vertical="top"/>
      <protection hidden="1"/>
    </xf>
    <xf numFmtId="0" fontId="4" fillId="35" borderId="0" xfId="0" applyFont="1" applyFill="1" applyAlignment="1" applyProtection="1">
      <alignment vertical="center"/>
      <protection hidden="1"/>
    </xf>
    <xf numFmtId="0" fontId="12" fillId="35" borderId="0" xfId="0" applyFont="1" applyFill="1" applyAlignment="1" applyProtection="1">
      <alignment horizontal="center" vertical="center"/>
      <protection hidden="1"/>
    </xf>
    <xf numFmtId="0" fontId="45" fillId="37" borderId="0" xfId="138" applyFont="1" applyFill="1" applyBorder="1" applyAlignment="1" applyProtection="1">
      <alignment vertical="center"/>
      <protection hidden="1"/>
    </xf>
    <xf numFmtId="0" fontId="8" fillId="35" borderId="0" xfId="0" applyFont="1" applyFill="1" applyAlignment="1" applyProtection="1">
      <alignment vertical="top"/>
      <protection hidden="1"/>
    </xf>
    <xf numFmtId="0" fontId="30" fillId="35" borderId="0" xfId="0" applyFont="1" applyFill="1" applyBorder="1" applyAlignment="1" applyProtection="1">
      <alignment horizontal="center" vertical="center"/>
      <protection hidden="1"/>
    </xf>
    <xf numFmtId="0" fontId="30" fillId="35" borderId="21" xfId="0" applyFont="1" applyFill="1" applyBorder="1" applyAlignment="1" applyProtection="1">
      <alignment horizontal="center" vertical="center"/>
      <protection hidden="1"/>
    </xf>
    <xf numFmtId="0" fontId="18" fillId="35" borderId="0" xfId="0" applyFont="1" applyFill="1" applyProtection="1">
      <protection hidden="1"/>
    </xf>
    <xf numFmtId="0" fontId="31" fillId="35" borderId="0" xfId="0" applyFont="1" applyFill="1" applyBorder="1" applyAlignment="1" applyProtection="1">
      <alignment horizontal="center" vertical="center"/>
      <protection hidden="1"/>
    </xf>
    <xf numFmtId="0" fontId="18" fillId="35" borderId="0" xfId="0" applyFont="1" applyFill="1" applyBorder="1" applyProtection="1">
      <protection hidden="1"/>
    </xf>
    <xf numFmtId="0" fontId="25" fillId="35" borderId="0" xfId="0" applyFont="1" applyFill="1" applyBorder="1" applyAlignment="1" applyProtection="1">
      <alignment vertical="center"/>
      <protection hidden="1"/>
    </xf>
    <xf numFmtId="0" fontId="25" fillId="35" borderId="0" xfId="0" applyFont="1" applyFill="1" applyAlignment="1" applyProtection="1">
      <alignment vertical="center"/>
      <protection hidden="1"/>
    </xf>
    <xf numFmtId="0" fontId="25" fillId="35" borderId="0" xfId="0" applyFont="1" applyFill="1" applyBorder="1" applyAlignment="1" applyProtection="1">
      <alignment vertical="top"/>
      <protection hidden="1"/>
    </xf>
    <xf numFmtId="0" fontId="18" fillId="35" borderId="0" xfId="0" applyFont="1" applyFill="1" applyBorder="1" applyAlignment="1" applyProtection="1">
      <alignment horizontal="center" vertical="top" wrapText="1"/>
      <protection hidden="1"/>
    </xf>
    <xf numFmtId="0" fontId="118" fillId="35" borderId="0" xfId="0" applyFont="1" applyFill="1" applyBorder="1" applyAlignment="1" applyProtection="1">
      <alignment vertical="center"/>
      <protection hidden="1"/>
    </xf>
    <xf numFmtId="0" fontId="14" fillId="35" borderId="0" xfId="0" applyFont="1" applyFill="1" applyBorder="1" applyAlignment="1" applyProtection="1">
      <alignment vertical="center"/>
      <protection hidden="1"/>
    </xf>
    <xf numFmtId="0" fontId="27" fillId="35" borderId="0" xfId="0" applyFont="1" applyFill="1" applyBorder="1" applyAlignment="1" applyProtection="1">
      <alignment vertical="center"/>
      <protection hidden="1"/>
    </xf>
    <xf numFmtId="0" fontId="82" fillId="35" borderId="0" xfId="0" applyFont="1" applyFill="1" applyBorder="1" applyAlignment="1" applyProtection="1">
      <alignment vertical="center"/>
      <protection hidden="1"/>
    </xf>
    <xf numFmtId="0" fontId="82" fillId="35" borderId="0" xfId="0" applyFont="1" applyFill="1" applyAlignment="1" applyProtection="1">
      <alignment vertical="center"/>
      <protection hidden="1"/>
    </xf>
    <xf numFmtId="0" fontId="8" fillId="35" borderId="0" xfId="0" applyFont="1" applyFill="1" applyBorder="1" applyAlignment="1" applyProtection="1">
      <alignment horizontal="center" vertical="center"/>
      <protection hidden="1"/>
    </xf>
    <xf numFmtId="0" fontId="18" fillId="35" borderId="0" xfId="0" applyFont="1" applyFill="1" applyBorder="1" applyAlignment="1" applyProtection="1">
      <alignment vertical="center"/>
      <protection hidden="1"/>
    </xf>
    <xf numFmtId="1" fontId="14" fillId="35" borderId="0" xfId="0" applyNumberFormat="1" applyFont="1" applyFill="1" applyBorder="1" applyAlignment="1" applyProtection="1">
      <alignment vertical="center"/>
      <protection hidden="1"/>
    </xf>
    <xf numFmtId="1" fontId="118" fillId="35" borderId="0" xfId="0" applyNumberFormat="1" applyFont="1" applyFill="1" applyBorder="1" applyAlignment="1" applyProtection="1">
      <alignment vertical="center"/>
      <protection hidden="1"/>
    </xf>
    <xf numFmtId="0" fontId="8" fillId="35" borderId="0" xfId="0" applyFont="1" applyFill="1" applyAlignment="1" applyProtection="1">
      <alignment vertical="center"/>
      <protection hidden="1"/>
    </xf>
    <xf numFmtId="0" fontId="27" fillId="35" borderId="0" xfId="0" applyFont="1" applyFill="1" applyBorder="1" applyAlignment="1" applyProtection="1">
      <alignment vertical="top"/>
      <protection hidden="1"/>
    </xf>
    <xf numFmtId="0" fontId="82" fillId="35" borderId="0" xfId="0" applyFont="1" applyFill="1" applyBorder="1" applyAlignment="1" applyProtection="1">
      <alignment vertical="top"/>
      <protection hidden="1"/>
    </xf>
    <xf numFmtId="0" fontId="82" fillId="35" borderId="0" xfId="0" applyFont="1" applyFill="1" applyAlignment="1" applyProtection="1">
      <alignment vertical="top"/>
      <protection hidden="1"/>
    </xf>
    <xf numFmtId="0" fontId="95" fillId="35" borderId="0" xfId="0" applyFont="1" applyFill="1" applyBorder="1" applyAlignment="1" applyProtection="1">
      <alignment vertical="top"/>
      <protection hidden="1"/>
    </xf>
    <xf numFmtId="0" fontId="30" fillId="35" borderId="0" xfId="0" applyFont="1" applyFill="1" applyBorder="1" applyAlignment="1" applyProtection="1">
      <alignment vertical="top"/>
      <protection hidden="1"/>
    </xf>
    <xf numFmtId="0" fontId="18" fillId="35" borderId="0" xfId="0" applyFont="1" applyFill="1" applyBorder="1" applyAlignment="1" applyProtection="1">
      <alignment vertical="top"/>
      <protection hidden="1"/>
    </xf>
    <xf numFmtId="0" fontId="18" fillId="35" borderId="0" xfId="0" applyFont="1" applyFill="1" applyBorder="1" applyAlignment="1" applyProtection="1">
      <alignment horizontal="right" vertical="center"/>
      <protection hidden="1"/>
    </xf>
    <xf numFmtId="0" fontId="25" fillId="35" borderId="0" xfId="0" applyFont="1" applyFill="1" applyAlignment="1" applyProtection="1">
      <alignment vertical="top"/>
      <protection hidden="1"/>
    </xf>
    <xf numFmtId="0" fontId="95" fillId="35" borderId="0" xfId="0" applyFont="1" applyFill="1" applyBorder="1" applyAlignment="1" applyProtection="1">
      <alignment horizontal="center" vertical="top"/>
      <protection hidden="1"/>
    </xf>
    <xf numFmtId="0" fontId="27" fillId="35" borderId="0" xfId="0" applyFont="1" applyFill="1" applyBorder="1" applyAlignment="1" applyProtection="1">
      <alignment horizontal="center" vertical="top"/>
      <protection hidden="1"/>
    </xf>
    <xf numFmtId="0" fontId="8" fillId="35" borderId="0" xfId="0" applyFont="1" applyFill="1" applyBorder="1" applyAlignment="1" applyProtection="1">
      <alignment horizontal="right" vertical="top"/>
      <protection hidden="1"/>
    </xf>
    <xf numFmtId="0" fontId="27" fillId="35" borderId="0" xfId="0" applyFont="1" applyFill="1" applyAlignment="1" applyProtection="1">
      <alignment vertical="top"/>
      <protection hidden="1"/>
    </xf>
    <xf numFmtId="0" fontId="3" fillId="35" borderId="0" xfId="0" applyFont="1" applyFill="1" applyBorder="1" applyAlignment="1" applyProtection="1">
      <alignment horizontal="right" vertical="center" wrapText="1"/>
      <protection hidden="1"/>
    </xf>
    <xf numFmtId="0" fontId="7" fillId="35" borderId="0" xfId="0" quotePrefix="1" applyFont="1" applyFill="1" applyBorder="1" applyAlignment="1" applyProtection="1">
      <alignment horizontal="right" vertical="center"/>
      <protection hidden="1"/>
    </xf>
    <xf numFmtId="0" fontId="9" fillId="35" borderId="0" xfId="0" applyFont="1" applyFill="1" applyBorder="1" applyAlignment="1" applyProtection="1">
      <alignment vertical="center"/>
      <protection hidden="1"/>
    </xf>
    <xf numFmtId="0" fontId="31" fillId="0" borderId="7" xfId="131" applyFont="1" applyBorder="1" applyAlignment="1" applyProtection="1">
      <alignment horizontal="center" vertical="center"/>
      <protection locked="0"/>
    </xf>
    <xf numFmtId="0" fontId="31" fillId="0" borderId="7" xfId="131" applyFont="1" applyBorder="1" applyAlignment="1" applyProtection="1">
      <alignment horizontal="center"/>
      <protection locked="0"/>
    </xf>
    <xf numFmtId="184" fontId="31" fillId="0" borderId="7" xfId="96" applyNumberFormat="1" applyFont="1" applyBorder="1" applyAlignment="1" applyProtection="1">
      <alignment horizontal="center" vertical="center"/>
      <protection locked="0"/>
    </xf>
    <xf numFmtId="0" fontId="31" fillId="0" borderId="38" xfId="0" applyFont="1" applyBorder="1" applyAlignment="1" applyProtection="1">
      <alignment horizontal="center" vertical="center"/>
      <protection locked="0"/>
    </xf>
    <xf numFmtId="0" fontId="31" fillId="0" borderId="7" xfId="131" applyFont="1" applyBorder="1" applyProtection="1">
      <protection locked="0"/>
    </xf>
    <xf numFmtId="184" fontId="31" fillId="0" borderId="7" xfId="96" applyNumberFormat="1" applyFont="1" applyBorder="1" applyAlignment="1" applyProtection="1">
      <alignment vertical="center"/>
      <protection locked="0"/>
    </xf>
    <xf numFmtId="0" fontId="122" fillId="0" borderId="0" xfId="131" applyFont="1" applyAlignment="1" applyProtection="1">
      <alignment vertical="center"/>
    </xf>
    <xf numFmtId="0" fontId="43" fillId="35" borderId="0" xfId="131" applyFont="1" applyFill="1" applyBorder="1" applyAlignment="1" applyProtection="1">
      <alignment horizontal="centerContinuous" vertical="center"/>
    </xf>
    <xf numFmtId="0" fontId="122" fillId="0" borderId="0" xfId="131" applyFont="1" applyProtection="1"/>
    <xf numFmtId="0" fontId="123" fillId="35" borderId="0" xfId="131" applyFont="1" applyFill="1" applyBorder="1" applyAlignment="1" applyProtection="1">
      <alignment horizontal="centerContinuous" vertical="center" wrapText="1"/>
    </xf>
    <xf numFmtId="0" fontId="122" fillId="35" borderId="0" xfId="131" applyFont="1" applyFill="1" applyProtection="1"/>
    <xf numFmtId="0" fontId="124" fillId="35" borderId="21" xfId="131" applyFont="1" applyFill="1" applyBorder="1" applyAlignment="1" applyProtection="1">
      <alignment horizontal="centerContinuous" vertical="center" wrapText="1"/>
    </xf>
    <xf numFmtId="0" fontId="122" fillId="0" borderId="34" xfId="131" applyFont="1" applyBorder="1" applyAlignment="1" applyProtection="1">
      <alignment horizontal="centerContinuous" vertical="center"/>
    </xf>
    <xf numFmtId="0" fontId="122" fillId="0" borderId="35" xfId="131" applyFont="1" applyBorder="1" applyAlignment="1" applyProtection="1">
      <alignment horizontal="centerContinuous" vertical="center"/>
    </xf>
    <xf numFmtId="0" fontId="122" fillId="0" borderId="36" xfId="131" applyFont="1" applyBorder="1" applyAlignment="1" applyProtection="1">
      <alignment horizontal="centerContinuous" vertical="center"/>
    </xf>
    <xf numFmtId="0" fontId="115" fillId="0" borderId="35" xfId="131" applyFont="1" applyBorder="1" applyAlignment="1" applyProtection="1">
      <alignment horizontal="centerContinuous" vertical="center" wrapText="1"/>
    </xf>
    <xf numFmtId="0" fontId="115" fillId="0" borderId="36" xfId="131" applyFont="1" applyBorder="1" applyAlignment="1" applyProtection="1">
      <alignment horizontal="centerContinuous" vertical="center" wrapText="1"/>
    </xf>
    <xf numFmtId="0" fontId="115" fillId="0" borderId="34" xfId="131" applyFont="1" applyBorder="1" applyAlignment="1" applyProtection="1">
      <alignment horizontal="centerContinuous" vertical="center" wrapText="1"/>
    </xf>
    <xf numFmtId="0" fontId="122" fillId="0" borderId="7" xfId="131" applyFont="1" applyBorder="1" applyAlignment="1" applyProtection="1">
      <alignment horizontal="center" vertical="center"/>
    </xf>
    <xf numFmtId="184" fontId="122" fillId="0" borderId="7" xfId="96" applyNumberFormat="1" applyFont="1" applyBorder="1" applyAlignment="1" applyProtection="1">
      <alignment vertical="center"/>
    </xf>
    <xf numFmtId="0" fontId="122" fillId="38" borderId="34" xfId="131" applyFont="1" applyFill="1" applyBorder="1" applyAlignment="1" applyProtection="1">
      <alignment vertical="center"/>
    </xf>
    <xf numFmtId="0" fontId="122" fillId="38" borderId="35" xfId="131" applyFont="1" applyFill="1" applyBorder="1" applyAlignment="1" applyProtection="1">
      <alignment vertical="center"/>
    </xf>
    <xf numFmtId="0" fontId="122" fillId="38" borderId="36" xfId="131" applyFont="1" applyFill="1" applyBorder="1" applyAlignment="1" applyProtection="1">
      <alignment vertical="center"/>
    </xf>
    <xf numFmtId="0" fontId="125" fillId="0" borderId="0" xfId="131" applyFont="1" applyProtection="1"/>
    <xf numFmtId="0" fontId="122" fillId="0" borderId="0" xfId="131" applyFont="1" applyBorder="1" applyProtection="1"/>
    <xf numFmtId="0" fontId="125" fillId="0" borderId="0" xfId="131" applyFont="1" applyBorder="1" applyAlignment="1" applyProtection="1">
      <alignment horizontal="centerContinuous" vertical="center" wrapText="1"/>
    </xf>
    <xf numFmtId="0" fontId="124" fillId="0" borderId="0" xfId="131" applyFont="1" applyBorder="1" applyAlignment="1" applyProtection="1">
      <alignment horizontal="centerContinuous" vertical="center" wrapText="1"/>
    </xf>
    <xf numFmtId="0" fontId="124" fillId="0" borderId="21" xfId="131" applyFont="1" applyBorder="1" applyAlignment="1" applyProtection="1">
      <alignment horizontal="centerContinuous" vertical="center" wrapText="1"/>
    </xf>
    <xf numFmtId="0" fontId="115" fillId="0" borderId="7" xfId="131" applyFont="1" applyBorder="1" applyAlignment="1" applyProtection="1">
      <alignment horizontal="centerContinuous" vertical="center" wrapText="1"/>
    </xf>
    <xf numFmtId="0" fontId="117" fillId="0" borderId="7" xfId="131" applyFont="1" applyBorder="1" applyAlignment="1" applyProtection="1">
      <alignment horizontal="centerContinuous" vertical="center" wrapText="1"/>
    </xf>
    <xf numFmtId="0" fontId="122" fillId="0" borderId="7" xfId="131" applyFont="1" applyBorder="1" applyAlignment="1" applyProtection="1">
      <alignment horizontal="center"/>
    </xf>
    <xf numFmtId="0" fontId="122" fillId="38" borderId="34" xfId="131" applyFont="1" applyFill="1" applyBorder="1" applyProtection="1"/>
    <xf numFmtId="0" fontId="122" fillId="38" borderId="35" xfId="131" applyFont="1" applyFill="1" applyBorder="1" applyProtection="1"/>
    <xf numFmtId="0" fontId="122" fillId="38" borderId="36" xfId="131" applyFont="1" applyFill="1" applyBorder="1" applyProtection="1"/>
    <xf numFmtId="0" fontId="4" fillId="35" borderId="0" xfId="0" applyFont="1" applyFill="1" applyBorder="1" applyProtection="1"/>
    <xf numFmtId="0" fontId="4" fillId="35" borderId="0" xfId="0" applyFont="1" applyFill="1" applyProtection="1"/>
    <xf numFmtId="0" fontId="4" fillId="0" borderId="0" xfId="0" applyFont="1" applyProtection="1"/>
    <xf numFmtId="0" fontId="4" fillId="0" borderId="0" xfId="0" applyFont="1" applyFill="1" applyProtection="1"/>
    <xf numFmtId="0" fontId="13" fillId="37" borderId="0" xfId="114" applyFont="1" applyFill="1" applyBorder="1" applyAlignment="1" applyProtection="1">
      <alignment horizontal="center" vertical="center" shrinkToFit="1"/>
    </xf>
    <xf numFmtId="0" fontId="13" fillId="37" borderId="39" xfId="114" applyFont="1" applyFill="1" applyBorder="1" applyAlignment="1" applyProtection="1">
      <alignment horizontal="center" vertical="center" shrinkToFit="1"/>
    </xf>
    <xf numFmtId="0" fontId="13" fillId="35" borderId="0" xfId="114" applyFont="1" applyFill="1" applyBorder="1" applyAlignment="1" applyProtection="1">
      <alignment horizontal="center" vertical="center" shrinkToFit="1"/>
    </xf>
    <xf numFmtId="0" fontId="17" fillId="0" borderId="40" xfId="0" applyFont="1" applyFill="1" applyBorder="1" applyAlignment="1" applyProtection="1">
      <alignment horizontal="center" vertical="center"/>
      <protection hidden="1"/>
    </xf>
    <xf numFmtId="0" fontId="17" fillId="35" borderId="40" xfId="0" applyFont="1" applyFill="1" applyBorder="1" applyAlignment="1" applyProtection="1">
      <alignment horizontal="center" vertical="center"/>
      <protection hidden="1"/>
    </xf>
    <xf numFmtId="0" fontId="126" fillId="39" borderId="0" xfId="0" applyFont="1" applyFill="1" applyBorder="1" applyAlignment="1" applyProtection="1">
      <alignment vertical="center"/>
      <protection hidden="1"/>
    </xf>
    <xf numFmtId="0" fontId="30" fillId="39" borderId="0" xfId="0" applyFont="1" applyFill="1" applyBorder="1" applyAlignment="1" applyProtection="1">
      <alignment vertical="center"/>
      <protection hidden="1"/>
    </xf>
    <xf numFmtId="0" fontId="49" fillId="39" borderId="0" xfId="0" applyFont="1" applyFill="1" applyBorder="1" applyAlignment="1" applyProtection="1">
      <alignment horizontal="left" vertical="center" shrinkToFit="1"/>
      <protection hidden="1"/>
    </xf>
    <xf numFmtId="0" fontId="30" fillId="39" borderId="0" xfId="0" applyFont="1" applyFill="1" applyBorder="1" applyAlignment="1" applyProtection="1">
      <alignment horizontal="left" vertical="center"/>
      <protection hidden="1"/>
    </xf>
    <xf numFmtId="0" fontId="30" fillId="39" borderId="0" xfId="0" applyFont="1" applyFill="1" applyBorder="1" applyAlignment="1" applyProtection="1">
      <alignment horizontal="center" vertical="center"/>
      <protection hidden="1"/>
    </xf>
    <xf numFmtId="0" fontId="15" fillId="35" borderId="41" xfId="0" applyFont="1" applyFill="1" applyBorder="1" applyAlignment="1" applyProtection="1">
      <alignment vertical="center"/>
      <protection hidden="1"/>
    </xf>
    <xf numFmtId="0" fontId="15" fillId="35" borderId="42" xfId="0" applyFont="1" applyFill="1" applyBorder="1" applyAlignment="1" applyProtection="1">
      <alignment vertical="center"/>
      <protection hidden="1"/>
    </xf>
    <xf numFmtId="0" fontId="14" fillId="35" borderId="43" xfId="114" applyFont="1" applyFill="1" applyBorder="1" applyAlignment="1" applyProtection="1">
      <alignment horizontal="center" vertical="center" shrinkToFit="1"/>
      <protection hidden="1"/>
    </xf>
    <xf numFmtId="0" fontId="14" fillId="35" borderId="0" xfId="114" applyFont="1" applyFill="1" applyBorder="1" applyAlignment="1" applyProtection="1">
      <alignment horizontal="center" vertical="center" shrinkToFit="1"/>
      <protection hidden="1"/>
    </xf>
    <xf numFmtId="0" fontId="2" fillId="39" borderId="0" xfId="0" applyFont="1" applyFill="1" applyProtection="1">
      <protection hidden="1"/>
    </xf>
    <xf numFmtId="0" fontId="6" fillId="35" borderId="43" xfId="0" applyFont="1" applyFill="1" applyBorder="1" applyAlignment="1" applyProtection="1">
      <alignment horizontal="right" vertical="center" shrinkToFit="1"/>
      <protection hidden="1"/>
    </xf>
    <xf numFmtId="0" fontId="6" fillId="35" borderId="0" xfId="0" applyFont="1" applyFill="1" applyBorder="1" applyAlignment="1" applyProtection="1">
      <alignment horizontal="right" vertical="center" shrinkToFit="1"/>
      <protection hidden="1"/>
    </xf>
    <xf numFmtId="0" fontId="49" fillId="39" borderId="0" xfId="0" applyFont="1" applyFill="1" applyBorder="1" applyProtection="1">
      <protection hidden="1"/>
    </xf>
    <xf numFmtId="0" fontId="114" fillId="39" borderId="0" xfId="0" applyFont="1" applyFill="1" applyBorder="1" applyAlignment="1" applyProtection="1">
      <alignment vertical="center"/>
      <protection hidden="1"/>
    </xf>
    <xf numFmtId="0" fontId="30" fillId="39" borderId="0" xfId="0" applyFont="1" applyFill="1" applyBorder="1" applyAlignment="1" applyProtection="1">
      <alignment horizontal="left" vertical="center" shrinkToFit="1"/>
      <protection hidden="1"/>
    </xf>
    <xf numFmtId="0" fontId="4" fillId="35" borderId="0" xfId="0" applyFont="1" applyFill="1" applyBorder="1" applyAlignment="1" applyProtection="1">
      <alignment horizontal="center"/>
      <protection hidden="1"/>
    </xf>
    <xf numFmtId="0" fontId="4" fillId="35" borderId="0" xfId="0" applyFont="1" applyFill="1" applyBorder="1" applyProtection="1">
      <protection hidden="1"/>
    </xf>
    <xf numFmtId="0" fontId="30" fillId="39" borderId="0" xfId="114" applyFont="1" applyFill="1" applyBorder="1" applyAlignment="1" applyProtection="1">
      <alignment horizontal="center" vertical="center" shrinkToFit="1"/>
      <protection hidden="1"/>
    </xf>
    <xf numFmtId="0" fontId="8" fillId="39" borderId="0" xfId="0" applyFont="1" applyFill="1" applyBorder="1" applyProtection="1">
      <protection hidden="1"/>
    </xf>
    <xf numFmtId="0" fontId="2" fillId="35" borderId="29" xfId="136" applyFill="1" applyBorder="1" applyAlignment="1" applyProtection="1">
      <alignment horizontal="right" vertical="top" indent="1"/>
      <protection hidden="1"/>
    </xf>
    <xf numFmtId="0" fontId="2" fillId="35" borderId="17" xfId="136" applyFill="1" applyBorder="1" applyAlignment="1" applyProtection="1">
      <alignment horizontal="right" vertical="top" indent="1"/>
      <protection hidden="1"/>
    </xf>
    <xf numFmtId="0" fontId="2" fillId="35" borderId="18" xfId="136" applyFill="1" applyBorder="1" applyAlignment="1" applyProtection="1">
      <alignment horizontal="right" vertical="top" indent="1"/>
      <protection hidden="1"/>
    </xf>
    <xf numFmtId="0" fontId="2" fillId="35" borderId="30" xfId="136" applyFill="1" applyBorder="1" applyAlignment="1" applyProtection="1">
      <alignment horizontal="right" vertical="top" indent="1"/>
      <protection hidden="1"/>
    </xf>
    <xf numFmtId="0" fontId="2" fillId="35" borderId="31" xfId="136" applyFill="1" applyBorder="1" applyAlignment="1" applyProtection="1">
      <alignment horizontal="right" vertical="top" indent="1"/>
      <protection hidden="1"/>
    </xf>
    <xf numFmtId="0" fontId="2" fillId="35" borderId="32" xfId="136" applyFill="1" applyBorder="1" applyAlignment="1" applyProtection="1">
      <alignment horizontal="right" vertical="top" indent="1"/>
      <protection hidden="1"/>
    </xf>
    <xf numFmtId="0" fontId="26" fillId="0" borderId="25" xfId="133" applyFont="1" applyBorder="1" applyAlignment="1" applyProtection="1">
      <alignment horizontal="center" vertical="top"/>
      <protection hidden="1"/>
    </xf>
    <xf numFmtId="0" fontId="34" fillId="35" borderId="12" xfId="133" applyFill="1" applyBorder="1" applyAlignment="1" applyProtection="1">
      <alignment horizontal="center" vertical="center"/>
      <protection hidden="1"/>
    </xf>
    <xf numFmtId="0" fontId="34" fillId="35" borderId="12" xfId="133" quotePrefix="1" applyFill="1" applyBorder="1" applyAlignment="1" applyProtection="1">
      <alignment horizontal="center" vertical="center"/>
      <protection hidden="1"/>
    </xf>
    <xf numFmtId="0" fontId="57" fillId="36" borderId="0" xfId="0" applyFont="1" applyFill="1" applyBorder="1" applyAlignment="1" applyProtection="1">
      <alignment horizontal="centerContinuous" vertical="center"/>
      <protection hidden="1"/>
    </xf>
    <xf numFmtId="0" fontId="105" fillId="36" borderId="0" xfId="0" applyFont="1" applyFill="1" applyBorder="1" applyAlignment="1" applyProtection="1">
      <alignment horizontal="centerContinuous" vertical="center"/>
      <protection hidden="1"/>
    </xf>
    <xf numFmtId="0" fontId="21" fillId="35" borderId="0" xfId="114" applyFont="1" applyFill="1" applyBorder="1" applyAlignment="1" applyProtection="1">
      <alignment horizontal="center" vertical="center"/>
      <protection hidden="1"/>
    </xf>
    <xf numFmtId="0" fontId="57" fillId="37" borderId="0" xfId="114" applyFont="1" applyFill="1" applyBorder="1" applyAlignment="1" applyProtection="1">
      <alignment horizontal="centerContinuous" vertical="center"/>
      <protection hidden="1"/>
    </xf>
    <xf numFmtId="0" fontId="105" fillId="37" borderId="0" xfId="0" applyFont="1" applyFill="1" applyBorder="1" applyAlignment="1" applyProtection="1">
      <alignment horizontal="centerContinuous" vertical="center"/>
      <protection hidden="1"/>
    </xf>
    <xf numFmtId="0" fontId="28" fillId="37" borderId="0" xfId="0" applyFont="1" applyFill="1" applyBorder="1" applyAlignment="1" applyProtection="1">
      <alignment horizontal="centerContinuous" vertical="center"/>
      <protection hidden="1"/>
    </xf>
    <xf numFmtId="0" fontId="17" fillId="35" borderId="0" xfId="0" applyFont="1" applyFill="1" applyBorder="1" applyProtection="1">
      <protection hidden="1"/>
    </xf>
    <xf numFmtId="0" fontId="17" fillId="37" borderId="0" xfId="0" applyFont="1" applyFill="1" applyBorder="1" applyAlignment="1" applyProtection="1">
      <alignment horizontal="centerContinuous" vertical="center"/>
      <protection hidden="1"/>
    </xf>
    <xf numFmtId="0" fontId="19" fillId="35" borderId="12" xfId="133" applyFont="1" applyFill="1" applyBorder="1" applyAlignment="1" applyProtection="1">
      <alignment horizontal="center" vertical="center" textRotation="180" wrapText="1"/>
      <protection hidden="1"/>
    </xf>
    <xf numFmtId="0" fontId="34" fillId="0" borderId="15" xfId="133" applyBorder="1" applyAlignment="1" applyProtection="1">
      <alignment vertical="top"/>
      <protection hidden="1"/>
    </xf>
    <xf numFmtId="0" fontId="2" fillId="35" borderId="15" xfId="0" applyFont="1" applyFill="1" applyBorder="1" applyAlignment="1" applyProtection="1">
      <alignment vertical="center"/>
      <protection hidden="1"/>
    </xf>
    <xf numFmtId="0" fontId="2" fillId="35" borderId="0" xfId="136" applyFill="1" applyAlignment="1" applyProtection="1">
      <alignment vertical="center"/>
      <protection hidden="1"/>
    </xf>
    <xf numFmtId="0" fontId="2" fillId="35" borderId="27" xfId="136" applyFill="1" applyBorder="1" applyAlignment="1" applyProtection="1">
      <alignment horizontal="center" vertical="center"/>
      <protection hidden="1"/>
    </xf>
    <xf numFmtId="0" fontId="2" fillId="0" borderId="0" xfId="136" applyAlignment="1" applyProtection="1">
      <alignment vertical="center"/>
      <protection hidden="1"/>
    </xf>
    <xf numFmtId="0" fontId="27" fillId="35" borderId="15" xfId="0" applyFont="1" applyFill="1" applyBorder="1" applyAlignment="1" applyProtection="1">
      <alignment vertical="center"/>
      <protection hidden="1"/>
    </xf>
    <xf numFmtId="0" fontId="14" fillId="35" borderId="15" xfId="0" applyFont="1" applyFill="1" applyBorder="1" applyAlignment="1" applyProtection="1">
      <alignment vertical="center"/>
      <protection hidden="1"/>
    </xf>
    <xf numFmtId="185" fontId="17" fillId="35" borderId="0" xfId="138" quotePrefix="1" applyNumberFormat="1" applyFont="1" applyFill="1" applyBorder="1" applyAlignment="1" applyProtection="1">
      <alignment horizontal="left" vertical="center"/>
      <protection hidden="1"/>
    </xf>
    <xf numFmtId="0" fontId="2" fillId="35" borderId="31" xfId="0" applyFont="1" applyFill="1" applyBorder="1" applyAlignment="1" applyProtection="1">
      <alignment horizontal="center" vertical="top"/>
      <protection hidden="1"/>
    </xf>
    <xf numFmtId="0" fontId="17" fillId="35" borderId="31" xfId="136" applyFont="1" applyFill="1" applyBorder="1" applyAlignment="1" applyProtection="1">
      <alignment vertical="center"/>
      <protection hidden="1"/>
    </xf>
    <xf numFmtId="0" fontId="26" fillId="35" borderId="31" xfId="136" applyFont="1" applyFill="1" applyBorder="1" applyAlignment="1" applyProtection="1">
      <alignment horizontal="center" vertical="center"/>
      <protection hidden="1"/>
    </xf>
    <xf numFmtId="0" fontId="2" fillId="35" borderId="31" xfId="136" applyFont="1" applyFill="1" applyBorder="1" applyAlignment="1" applyProtection="1">
      <alignment horizontal="center" vertical="center"/>
      <protection hidden="1"/>
    </xf>
    <xf numFmtId="0" fontId="6" fillId="35" borderId="31" xfId="136" applyFont="1" applyFill="1" applyBorder="1" applyAlignment="1" applyProtection="1">
      <alignment horizontal="left" vertical="center"/>
      <protection hidden="1"/>
    </xf>
    <xf numFmtId="9" fontId="7" fillId="35" borderId="31" xfId="136" applyNumberFormat="1" applyFont="1" applyFill="1" applyBorder="1" applyAlignment="1" applyProtection="1">
      <alignment horizontal="center" vertical="center"/>
      <protection hidden="1"/>
    </xf>
    <xf numFmtId="0" fontId="26" fillId="35" borderId="31" xfId="136" applyNumberFormat="1" applyFont="1" applyFill="1" applyBorder="1" applyAlignment="1" applyProtection="1">
      <alignment horizontal="center" vertical="center"/>
      <protection hidden="1"/>
    </xf>
    <xf numFmtId="0" fontId="2" fillId="0" borderId="31" xfId="136" applyBorder="1" applyAlignment="1" applyProtection="1">
      <alignment vertical="top"/>
      <protection hidden="1"/>
    </xf>
    <xf numFmtId="0" fontId="7" fillId="35" borderId="31" xfId="136" applyFont="1" applyFill="1" applyBorder="1" applyAlignment="1" applyProtection="1">
      <alignment horizontal="center" vertical="center"/>
      <protection hidden="1"/>
    </xf>
    <xf numFmtId="0" fontId="26" fillId="35" borderId="32" xfId="136" applyNumberFormat="1" applyFont="1" applyFill="1" applyBorder="1" applyAlignment="1" applyProtection="1">
      <alignment horizontal="center" vertical="center"/>
      <protection hidden="1"/>
    </xf>
    <xf numFmtId="0" fontId="7" fillId="35" borderId="26" xfId="136" applyFont="1" applyFill="1" applyBorder="1" applyAlignment="1" applyProtection="1">
      <alignment horizontal="center" vertical="center"/>
      <protection hidden="1"/>
    </xf>
    <xf numFmtId="0" fontId="26" fillId="35" borderId="30" xfId="136" applyFont="1" applyFill="1" applyBorder="1" applyAlignment="1" applyProtection="1">
      <alignment horizontal="left" vertical="center"/>
      <protection hidden="1"/>
    </xf>
    <xf numFmtId="0" fontId="26" fillId="35" borderId="32" xfId="136" applyFont="1" applyFill="1" applyBorder="1" applyAlignment="1" applyProtection="1">
      <alignment horizontal="left" vertical="center"/>
      <protection hidden="1"/>
    </xf>
    <xf numFmtId="0" fontId="7" fillId="35" borderId="28" xfId="136" applyFont="1" applyFill="1" applyBorder="1" applyAlignment="1" applyProtection="1">
      <alignment horizontal="center" vertical="center"/>
      <protection hidden="1"/>
    </xf>
    <xf numFmtId="0" fontId="6" fillId="35" borderId="30" xfId="136" applyFont="1" applyFill="1" applyBorder="1" applyAlignment="1" applyProtection="1">
      <alignment horizontal="center" vertical="center"/>
      <protection hidden="1"/>
    </xf>
    <xf numFmtId="0" fontId="6" fillId="35" borderId="32" xfId="136" applyFont="1" applyFill="1" applyBorder="1" applyAlignment="1" applyProtection="1">
      <alignment horizontal="center" vertical="center"/>
      <protection hidden="1"/>
    </xf>
    <xf numFmtId="0" fontId="6" fillId="35" borderId="32" xfId="136" applyFont="1" applyFill="1" applyBorder="1" applyAlignment="1" applyProtection="1">
      <alignment horizontal="left" vertical="center"/>
      <protection hidden="1"/>
    </xf>
    <xf numFmtId="9" fontId="20" fillId="35" borderId="26" xfId="136" applyNumberFormat="1" applyFont="1" applyFill="1" applyBorder="1" applyAlignment="1" applyProtection="1">
      <alignment horizontal="center" vertical="center"/>
      <protection hidden="1"/>
    </xf>
    <xf numFmtId="0" fontId="6" fillId="35" borderId="30" xfId="136" applyFont="1" applyFill="1" applyBorder="1" applyAlignment="1" applyProtection="1">
      <alignment horizontal="left" vertical="center"/>
      <protection hidden="1"/>
    </xf>
    <xf numFmtId="9" fontId="7" fillId="35" borderId="28" xfId="136" applyNumberFormat="1" applyFont="1" applyFill="1" applyBorder="1" applyAlignment="1" applyProtection="1">
      <alignment horizontal="center" vertical="center"/>
      <protection hidden="1"/>
    </xf>
    <xf numFmtId="9" fontId="6" fillId="35" borderId="30" xfId="136" applyNumberFormat="1" applyFont="1" applyFill="1" applyBorder="1" applyAlignment="1" applyProtection="1">
      <alignment horizontal="center" vertical="center"/>
      <protection hidden="1"/>
    </xf>
    <xf numFmtId="9" fontId="6" fillId="35" borderId="32" xfId="136" applyNumberFormat="1" applyFont="1" applyFill="1" applyBorder="1" applyAlignment="1" applyProtection="1">
      <alignment horizontal="center" vertical="center"/>
      <protection hidden="1"/>
    </xf>
    <xf numFmtId="14" fontId="2" fillId="35" borderId="20" xfId="0" applyNumberFormat="1" applyFont="1" applyFill="1" applyBorder="1" applyAlignment="1" applyProtection="1">
      <alignment horizontal="center" vertical="top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6" fillId="35" borderId="0" xfId="133" applyFont="1" applyFill="1" applyBorder="1" applyAlignment="1" applyProtection="1">
      <alignment vertical="top"/>
      <protection hidden="1"/>
    </xf>
    <xf numFmtId="0" fontId="6" fillId="35" borderId="0" xfId="133" applyFont="1" applyFill="1" applyBorder="1" applyAlignment="1" applyProtection="1">
      <alignment vertical="top" wrapText="1"/>
      <protection hidden="1"/>
    </xf>
    <xf numFmtId="0" fontId="6" fillId="35" borderId="0" xfId="133" quotePrefix="1" applyFont="1" applyFill="1" applyBorder="1" applyAlignment="1" applyProtection="1">
      <alignment vertical="top"/>
      <protection hidden="1"/>
    </xf>
    <xf numFmtId="0" fontId="6" fillId="35" borderId="0" xfId="133" applyFont="1" applyFill="1" applyBorder="1" applyAlignment="1" applyProtection="1">
      <alignment vertical="top" shrinkToFit="1"/>
      <protection hidden="1"/>
    </xf>
    <xf numFmtId="0" fontId="6" fillId="35" borderId="0" xfId="133" applyFont="1" applyFill="1" applyBorder="1" applyAlignment="1" applyProtection="1">
      <alignment horizontal="left" vertical="top" wrapText="1"/>
      <protection hidden="1"/>
    </xf>
    <xf numFmtId="0" fontId="6" fillId="35" borderId="0" xfId="133" applyNumberFormat="1" applyFont="1" applyFill="1" applyBorder="1" applyAlignment="1" applyProtection="1">
      <alignment horizontal="right" vertical="top" shrinkToFit="1"/>
      <protection hidden="1"/>
    </xf>
    <xf numFmtId="0" fontId="2" fillId="35" borderId="0" xfId="133" applyFont="1" applyFill="1" applyBorder="1" applyAlignment="1" applyProtection="1">
      <alignment vertical="top" wrapText="1"/>
      <protection hidden="1"/>
    </xf>
    <xf numFmtId="0" fontId="26" fillId="35" borderId="0" xfId="133" applyFont="1" applyFill="1" applyBorder="1" applyAlignment="1" applyProtection="1">
      <alignment vertical="top" wrapText="1"/>
      <protection hidden="1"/>
    </xf>
    <xf numFmtId="0" fontId="129" fillId="40" borderId="34" xfId="0" applyFont="1" applyFill="1" applyBorder="1"/>
    <xf numFmtId="0" fontId="6" fillId="40" borderId="35" xfId="133" applyFont="1" applyFill="1" applyBorder="1" applyAlignment="1" applyProtection="1">
      <alignment vertical="top"/>
      <protection hidden="1"/>
    </xf>
    <xf numFmtId="0" fontId="6" fillId="40" borderId="35" xfId="133" applyFont="1" applyFill="1" applyBorder="1" applyAlignment="1" applyProtection="1">
      <alignment vertical="top" shrinkToFit="1"/>
      <protection hidden="1"/>
    </xf>
    <xf numFmtId="0" fontId="6" fillId="40" borderId="36" xfId="133" applyFont="1" applyFill="1" applyBorder="1" applyAlignment="1" applyProtection="1">
      <alignment vertical="top" shrinkToFit="1"/>
      <protection hidden="1"/>
    </xf>
    <xf numFmtId="0" fontId="10" fillId="35" borderId="7" xfId="133" applyFont="1" applyFill="1" applyBorder="1" applyAlignment="1" applyProtection="1">
      <alignment horizontal="center" vertical="center" shrinkToFit="1"/>
      <protection locked="0"/>
    </xf>
    <xf numFmtId="9" fontId="26" fillId="35" borderId="0" xfId="133" applyNumberFormat="1" applyFont="1" applyFill="1" applyBorder="1" applyAlignment="1" applyProtection="1">
      <alignment horizontal="center" vertical="top"/>
      <protection hidden="1"/>
    </xf>
    <xf numFmtId="0" fontId="38" fillId="35" borderId="0" xfId="138" applyNumberFormat="1" applyFont="1" applyFill="1" applyBorder="1" applyAlignment="1" applyProtection="1">
      <alignment vertical="top"/>
      <protection hidden="1"/>
    </xf>
    <xf numFmtId="0" fontId="19" fillId="35" borderId="44" xfId="133" applyFont="1" applyFill="1" applyBorder="1" applyAlignment="1" applyProtection="1">
      <alignment vertical="center"/>
      <protection hidden="1"/>
    </xf>
    <xf numFmtId="0" fontId="19" fillId="35" borderId="1" xfId="133" applyFont="1" applyFill="1" applyBorder="1" applyAlignment="1" applyProtection="1">
      <alignment vertical="center"/>
      <protection hidden="1"/>
    </xf>
    <xf numFmtId="0" fontId="34" fillId="35" borderId="45" xfId="133" applyFill="1" applyBorder="1" applyAlignment="1" applyProtection="1">
      <alignment vertical="top"/>
      <protection hidden="1"/>
    </xf>
    <xf numFmtId="0" fontId="4" fillId="35" borderId="0" xfId="133" applyNumberFormat="1" applyFont="1" applyFill="1" applyBorder="1" applyAlignment="1" applyProtection="1">
      <alignment vertical="top"/>
      <protection hidden="1"/>
    </xf>
    <xf numFmtId="0" fontId="40" fillId="35" borderId="0" xfId="133" applyFont="1" applyFill="1" applyBorder="1" applyAlignment="1" applyProtection="1">
      <alignment vertical="top"/>
      <protection hidden="1"/>
    </xf>
    <xf numFmtId="0" fontId="34" fillId="35" borderId="15" xfId="133" applyFill="1" applyBorder="1" applyAlignment="1" applyProtection="1">
      <alignment vertical="center"/>
      <protection hidden="1"/>
    </xf>
    <xf numFmtId="0" fontId="4" fillId="35" borderId="15" xfId="133" applyFont="1" applyFill="1" applyBorder="1" applyAlignment="1" applyProtection="1">
      <alignment vertical="center" wrapText="1"/>
      <protection hidden="1"/>
    </xf>
    <xf numFmtId="0" fontId="4" fillId="35" borderId="15" xfId="133" applyFont="1" applyFill="1" applyBorder="1" applyAlignment="1" applyProtection="1">
      <alignment vertical="center"/>
      <protection hidden="1"/>
    </xf>
    <xf numFmtId="0" fontId="14" fillId="35" borderId="15" xfId="133" applyFont="1" applyFill="1" applyBorder="1" applyAlignment="1" applyProtection="1">
      <alignment horizontal="center" vertical="center"/>
      <protection locked="0"/>
    </xf>
    <xf numFmtId="0" fontId="3" fillId="35" borderId="15" xfId="133" quotePrefix="1" applyFont="1" applyFill="1" applyBorder="1" applyAlignment="1" applyProtection="1">
      <alignment vertical="center"/>
      <protection hidden="1"/>
    </xf>
    <xf numFmtId="0" fontId="131" fillId="35" borderId="0" xfId="133" applyFont="1" applyFill="1" applyAlignment="1" applyProtection="1">
      <alignment vertical="top"/>
      <protection hidden="1"/>
    </xf>
    <xf numFmtId="0" fontId="131" fillId="35" borderId="0" xfId="133" applyFont="1" applyFill="1" applyBorder="1" applyAlignment="1" applyProtection="1">
      <alignment vertical="top"/>
      <protection hidden="1"/>
    </xf>
    <xf numFmtId="0" fontId="4" fillId="35" borderId="12" xfId="133" applyFont="1" applyFill="1" applyBorder="1" applyAlignment="1" applyProtection="1">
      <alignment horizontal="center" vertical="center"/>
      <protection hidden="1"/>
    </xf>
    <xf numFmtId="0" fontId="34" fillId="35" borderId="25" xfId="133" applyFill="1" applyBorder="1" applyAlignment="1" applyProtection="1">
      <alignment vertical="center"/>
      <protection hidden="1"/>
    </xf>
    <xf numFmtId="0" fontId="131" fillId="35" borderId="0" xfId="133" applyFont="1" applyFill="1" applyAlignment="1" applyProtection="1">
      <alignment vertical="center"/>
      <protection hidden="1"/>
    </xf>
    <xf numFmtId="0" fontId="133" fillId="35" borderId="0" xfId="133" applyFont="1" applyFill="1" applyBorder="1" applyAlignment="1" applyProtection="1">
      <alignment vertical="center" shrinkToFit="1"/>
      <protection hidden="1"/>
    </xf>
    <xf numFmtId="0" fontId="133" fillId="35" borderId="27" xfId="136" applyFont="1" applyFill="1" applyBorder="1" applyAlignment="1" applyProtection="1">
      <alignment horizontal="left" vertical="top"/>
      <protection hidden="1"/>
    </xf>
    <xf numFmtId="0" fontId="137" fillId="35" borderId="0" xfId="138" applyFont="1" applyFill="1" applyBorder="1" applyAlignment="1" applyProtection="1">
      <alignment vertical="top"/>
      <protection hidden="1"/>
    </xf>
    <xf numFmtId="0" fontId="137" fillId="35" borderId="0" xfId="138" applyFont="1" applyFill="1" applyBorder="1" applyAlignment="1" applyProtection="1">
      <alignment vertical="top"/>
    </xf>
    <xf numFmtId="0" fontId="7" fillId="35" borderId="12" xfId="138" applyFont="1" applyFill="1" applyBorder="1" applyAlignment="1" applyProtection="1">
      <alignment vertical="top"/>
      <protection hidden="1"/>
    </xf>
    <xf numFmtId="0" fontId="11" fillId="35" borderId="0" xfId="0" applyFont="1" applyFill="1" applyBorder="1" applyAlignment="1" applyProtection="1">
      <alignment vertical="center"/>
      <protection hidden="1"/>
    </xf>
    <xf numFmtId="0" fontId="11" fillId="35" borderId="0" xfId="0" applyFont="1" applyFill="1" applyBorder="1" applyAlignment="1" applyProtection="1">
      <alignment horizontal="center" vertical="center"/>
      <protection hidden="1"/>
    </xf>
    <xf numFmtId="0" fontId="32" fillId="41" borderId="46" xfId="0" applyFont="1" applyFill="1" applyBorder="1" applyAlignment="1" applyProtection="1">
      <alignment horizontal="center" vertical="center"/>
      <protection hidden="1"/>
    </xf>
    <xf numFmtId="0" fontId="10" fillId="35" borderId="40" xfId="0" applyFont="1" applyFill="1" applyBorder="1" applyAlignment="1" applyProtection="1">
      <alignment horizontal="center" vertical="center"/>
      <protection hidden="1"/>
    </xf>
    <xf numFmtId="0" fontId="13" fillId="41" borderId="40" xfId="0" applyFont="1" applyFill="1" applyBorder="1" applyAlignment="1" applyProtection="1">
      <alignment horizontal="center" vertical="center"/>
      <protection hidden="1"/>
    </xf>
    <xf numFmtId="0" fontId="103" fillId="35" borderId="47" xfId="0" applyFont="1" applyFill="1" applyBorder="1" applyProtection="1">
      <protection hidden="1"/>
    </xf>
    <xf numFmtId="0" fontId="103" fillId="35" borderId="48" xfId="0" applyFont="1" applyFill="1" applyBorder="1" applyProtection="1">
      <protection hidden="1"/>
    </xf>
    <xf numFmtId="0" fontId="104" fillId="35" borderId="48" xfId="0" applyFont="1" applyFill="1" applyBorder="1" applyProtection="1">
      <protection hidden="1"/>
    </xf>
    <xf numFmtId="0" fontId="48" fillId="42" borderId="49" xfId="0" applyFont="1" applyFill="1" applyBorder="1" applyAlignment="1" applyProtection="1">
      <alignment horizontal="centerContinuous" vertical="top" shrinkToFit="1"/>
      <protection hidden="1"/>
    </xf>
    <xf numFmtId="0" fontId="2" fillId="35" borderId="12" xfId="0" applyFont="1" applyFill="1" applyBorder="1" applyAlignment="1" applyProtection="1">
      <alignment horizontal="center" vertical="center"/>
      <protection hidden="1"/>
    </xf>
    <xf numFmtId="0" fontId="2" fillId="35" borderId="16" xfId="0" applyFont="1" applyFill="1" applyBorder="1" applyAlignment="1" applyProtection="1">
      <alignment horizontal="left" vertical="center"/>
      <protection hidden="1"/>
    </xf>
    <xf numFmtId="0" fontId="2" fillId="35" borderId="15" xfId="0" applyFont="1" applyFill="1" applyBorder="1" applyAlignment="1" applyProtection="1">
      <alignment horizontal="left" vertical="center"/>
      <protection hidden="1"/>
    </xf>
    <xf numFmtId="0" fontId="2" fillId="35" borderId="15" xfId="0" applyFont="1" applyFill="1" applyBorder="1" applyAlignment="1" applyProtection="1">
      <alignment horizontal="right" vertical="center"/>
      <protection hidden="1"/>
    </xf>
    <xf numFmtId="0" fontId="2" fillId="35" borderId="25" xfId="0" applyFont="1" applyFill="1" applyBorder="1" applyAlignment="1" applyProtection="1">
      <alignment horizontal="right" vertical="center"/>
      <protection hidden="1"/>
    </xf>
    <xf numFmtId="0" fontId="2" fillId="35" borderId="31" xfId="0" applyFont="1" applyFill="1" applyBorder="1" applyAlignment="1" applyProtection="1">
      <alignment horizontal="left" vertical="center"/>
      <protection hidden="1"/>
    </xf>
    <xf numFmtId="0" fontId="2" fillId="35" borderId="32" xfId="0" applyFont="1" applyFill="1" applyBorder="1" applyAlignment="1" applyProtection="1">
      <alignment horizontal="left" vertical="center"/>
      <protection hidden="1"/>
    </xf>
    <xf numFmtId="0" fontId="3" fillId="35" borderId="40" xfId="0" applyFont="1" applyFill="1" applyBorder="1" applyAlignment="1" applyProtection="1">
      <alignment horizontal="centerContinuous" vertical="center"/>
      <protection hidden="1"/>
    </xf>
    <xf numFmtId="0" fontId="22" fillId="35" borderId="40" xfId="0" applyFont="1" applyFill="1" applyBorder="1" applyAlignment="1" applyProtection="1">
      <alignment horizontal="centerContinuous" vertical="center"/>
      <protection hidden="1"/>
    </xf>
    <xf numFmtId="0" fontId="17" fillId="35" borderId="50" xfId="0" applyFont="1" applyFill="1" applyBorder="1" applyAlignment="1" applyProtection="1">
      <alignment horizontal="center" vertical="center"/>
      <protection hidden="1"/>
    </xf>
    <xf numFmtId="0" fontId="11" fillId="35" borderId="48" xfId="0" applyFont="1" applyFill="1" applyBorder="1" applyProtection="1">
      <protection hidden="1"/>
    </xf>
    <xf numFmtId="0" fontId="4" fillId="35" borderId="46" xfId="0" applyFont="1" applyFill="1" applyBorder="1" applyProtection="1"/>
    <xf numFmtId="0" fontId="31" fillId="35" borderId="16" xfId="133" applyFont="1" applyFill="1" applyBorder="1" applyAlignment="1" applyProtection="1">
      <alignment vertical="top"/>
      <protection locked="0"/>
    </xf>
    <xf numFmtId="0" fontId="31" fillId="35" borderId="15" xfId="133" applyFont="1" applyFill="1" applyBorder="1" applyAlignment="1" applyProtection="1">
      <alignment vertical="top"/>
      <protection locked="0"/>
    </xf>
    <xf numFmtId="0" fontId="31" fillId="35" borderId="25" xfId="133" applyFont="1" applyFill="1" applyBorder="1" applyAlignment="1" applyProtection="1">
      <alignment vertical="top"/>
      <protection locked="0"/>
    </xf>
    <xf numFmtId="0" fontId="4" fillId="35" borderId="29" xfId="133" applyFont="1" applyFill="1" applyBorder="1" applyAlignment="1" applyProtection="1">
      <alignment vertical="top" wrapText="1"/>
      <protection hidden="1"/>
    </xf>
    <xf numFmtId="0" fontId="103" fillId="35" borderId="16" xfId="133" applyNumberFormat="1" applyFont="1" applyFill="1" applyBorder="1" applyAlignment="1" applyProtection="1">
      <alignment horizontal="right" vertical="center" shrinkToFit="1"/>
    </xf>
    <xf numFmtId="170" fontId="34" fillId="35" borderId="16" xfId="133" applyNumberFormat="1" applyFill="1" applyBorder="1" applyAlignment="1" applyProtection="1">
      <alignment horizontal="left" vertical="center" shrinkToFit="1"/>
      <protection hidden="1"/>
    </xf>
    <xf numFmtId="0" fontId="2" fillId="35" borderId="0" xfId="135" applyFill="1" applyAlignment="1" applyProtection="1">
      <alignment vertical="top"/>
      <protection hidden="1"/>
    </xf>
    <xf numFmtId="0" fontId="2" fillId="0" borderId="0" xfId="135" applyAlignment="1" applyProtection="1">
      <alignment vertical="top"/>
      <protection hidden="1"/>
    </xf>
    <xf numFmtId="0" fontId="35" fillId="35" borderId="0" xfId="135" applyFont="1" applyFill="1" applyAlignment="1" applyProtection="1">
      <alignment horizontal="centerContinuous" vertical="top"/>
      <protection hidden="1"/>
    </xf>
    <xf numFmtId="0" fontId="35" fillId="35" borderId="0" xfId="135" applyFont="1" applyFill="1" applyAlignment="1" applyProtection="1">
      <alignment horizontal="right" vertical="top"/>
      <protection hidden="1"/>
    </xf>
    <xf numFmtId="0" fontId="2" fillId="35" borderId="15" xfId="135" applyFill="1" applyBorder="1" applyAlignment="1" applyProtection="1">
      <alignment vertical="top"/>
      <protection hidden="1"/>
    </xf>
    <xf numFmtId="0" fontId="2" fillId="35" borderId="25" xfId="135" applyFill="1" applyBorder="1" applyAlignment="1" applyProtection="1">
      <alignment vertical="top"/>
      <protection hidden="1"/>
    </xf>
    <xf numFmtId="0" fontId="2" fillId="35" borderId="0" xfId="135" applyFill="1" applyBorder="1" applyAlignment="1" applyProtection="1">
      <alignment vertical="top"/>
      <protection hidden="1"/>
    </xf>
    <xf numFmtId="0" fontId="2" fillId="35" borderId="0" xfId="135" applyFill="1" applyAlignment="1" applyProtection="1">
      <alignment vertical="center"/>
      <protection hidden="1"/>
    </xf>
    <xf numFmtId="0" fontId="2" fillId="35" borderId="0" xfId="135" applyFill="1" applyBorder="1" applyAlignment="1" applyProtection="1">
      <alignment vertical="center"/>
      <protection hidden="1"/>
    </xf>
    <xf numFmtId="0" fontId="2" fillId="0" borderId="0" xfId="135" applyAlignment="1" applyProtection="1">
      <alignment vertical="center"/>
      <protection hidden="1"/>
    </xf>
    <xf numFmtId="0" fontId="19" fillId="35" borderId="12" xfId="135" applyFont="1" applyFill="1" applyBorder="1" applyAlignment="1" applyProtection="1">
      <alignment horizontal="center" vertical="center" textRotation="180" wrapText="1"/>
      <protection hidden="1"/>
    </xf>
    <xf numFmtId="0" fontId="2" fillId="35" borderId="16" xfId="135" applyNumberFormat="1" applyFont="1" applyFill="1" applyBorder="1" applyAlignment="1" applyProtection="1">
      <alignment horizontal="right" vertical="center" shrinkToFit="1"/>
    </xf>
    <xf numFmtId="0" fontId="11" fillId="35" borderId="16" xfId="135" applyNumberFormat="1" applyFont="1" applyFill="1" applyBorder="1" applyAlignment="1" applyProtection="1">
      <alignment horizontal="right" vertical="center" shrinkToFit="1"/>
    </xf>
    <xf numFmtId="0" fontId="14" fillId="35" borderId="29" xfId="135" applyNumberFormat="1" applyFont="1" applyFill="1" applyBorder="1" applyAlignment="1" applyProtection="1">
      <alignment horizontal="right" vertical="center" shrinkToFit="1"/>
    </xf>
    <xf numFmtId="0" fontId="14" fillId="35" borderId="17" xfId="135" applyNumberFormat="1" applyFont="1" applyFill="1" applyBorder="1" applyAlignment="1" applyProtection="1">
      <alignment horizontal="right" vertical="center" shrinkToFit="1"/>
    </xf>
    <xf numFmtId="0" fontId="14" fillId="35" borderId="33" xfId="135" applyNumberFormat="1" applyFont="1" applyFill="1" applyBorder="1" applyAlignment="1" applyProtection="1">
      <alignment horizontal="right" vertical="center" shrinkToFit="1"/>
    </xf>
    <xf numFmtId="0" fontId="14" fillId="35" borderId="19" xfId="135" applyNumberFormat="1" applyFont="1" applyFill="1" applyBorder="1" applyAlignment="1" applyProtection="1">
      <alignment horizontal="right" vertical="center" shrinkToFit="1"/>
    </xf>
    <xf numFmtId="0" fontId="14" fillId="35" borderId="0" xfId="135" applyNumberFormat="1" applyFont="1" applyFill="1" applyBorder="1" applyAlignment="1" applyProtection="1">
      <alignment horizontal="right" vertical="center" shrinkToFit="1"/>
    </xf>
    <xf numFmtId="0" fontId="19" fillId="35" borderId="16" xfId="133" applyFont="1" applyFill="1" applyBorder="1" applyAlignment="1" applyProtection="1">
      <alignment horizontal="center" vertical="center" wrapText="1"/>
      <protection hidden="1"/>
    </xf>
    <xf numFmtId="0" fontId="19" fillId="35" borderId="15" xfId="133" applyFont="1" applyFill="1" applyBorder="1" applyAlignment="1" applyProtection="1">
      <alignment horizontal="center" vertical="center" wrapText="1"/>
      <protection hidden="1"/>
    </xf>
    <xf numFmtId="0" fontId="19" fillId="35" borderId="25" xfId="133" applyFont="1" applyFill="1" applyBorder="1" applyAlignment="1" applyProtection="1">
      <alignment horizontal="center" vertical="center" wrapText="1"/>
      <protection hidden="1"/>
    </xf>
    <xf numFmtId="0" fontId="14" fillId="35" borderId="30" xfId="135" applyNumberFormat="1" applyFont="1" applyFill="1" applyBorder="1" applyAlignment="1" applyProtection="1">
      <alignment horizontal="right" vertical="center" shrinkToFit="1"/>
    </xf>
    <xf numFmtId="0" fontId="14" fillId="35" borderId="31" xfId="135" applyNumberFormat="1" applyFont="1" applyFill="1" applyBorder="1" applyAlignment="1" applyProtection="1">
      <alignment horizontal="right" vertical="center" shrinkToFit="1"/>
    </xf>
    <xf numFmtId="0" fontId="2" fillId="35" borderId="0" xfId="135" applyFont="1" applyFill="1" applyAlignment="1" applyProtection="1">
      <alignment vertical="top"/>
      <protection hidden="1"/>
    </xf>
    <xf numFmtId="0" fontId="2" fillId="35" borderId="0" xfId="135" applyFont="1" applyFill="1" applyBorder="1" applyAlignment="1" applyProtection="1">
      <alignment vertical="top"/>
      <protection hidden="1"/>
    </xf>
    <xf numFmtId="0" fontId="2" fillId="35" borderId="0" xfId="135" applyFont="1" applyFill="1" applyBorder="1" applyAlignment="1" applyProtection="1">
      <alignment horizontal="left" vertical="top" wrapText="1"/>
      <protection hidden="1"/>
    </xf>
    <xf numFmtId="0" fontId="2" fillId="35" borderId="17" xfId="135" applyFont="1" applyFill="1" applyBorder="1" applyAlignment="1" applyProtection="1">
      <alignment horizontal="left" vertical="top" wrapText="1"/>
      <protection hidden="1"/>
    </xf>
    <xf numFmtId="0" fontId="2" fillId="35" borderId="17" xfId="135" applyNumberFormat="1" applyFont="1" applyFill="1" applyBorder="1" applyAlignment="1" applyProtection="1">
      <alignment horizontal="right" vertical="top" shrinkToFit="1"/>
      <protection hidden="1"/>
    </xf>
    <xf numFmtId="0" fontId="2" fillId="0" borderId="0" xfId="135" applyBorder="1" applyAlignment="1" applyProtection="1">
      <alignment vertical="top"/>
      <protection hidden="1"/>
    </xf>
    <xf numFmtId="0" fontId="44" fillId="35" borderId="0" xfId="135" applyFont="1" applyFill="1" applyBorder="1" applyAlignment="1" applyProtection="1">
      <alignment horizontal="left" vertical="top"/>
      <protection hidden="1"/>
    </xf>
    <xf numFmtId="0" fontId="26" fillId="35" borderId="0" xfId="135" applyFont="1" applyFill="1" applyBorder="1" applyAlignment="1" applyProtection="1">
      <alignment horizontal="left" vertical="top" wrapText="1"/>
      <protection hidden="1"/>
    </xf>
    <xf numFmtId="0" fontId="26" fillId="35" borderId="0" xfId="135" applyNumberFormat="1" applyFont="1" applyFill="1" applyBorder="1" applyAlignment="1" applyProtection="1">
      <alignment horizontal="right" vertical="top" shrinkToFit="1"/>
      <protection hidden="1"/>
    </xf>
    <xf numFmtId="9" fontId="44" fillId="35" borderId="0" xfId="135" applyNumberFormat="1" applyFont="1" applyFill="1" applyBorder="1" applyAlignment="1" applyProtection="1">
      <alignment horizontal="right" vertical="top" shrinkToFit="1"/>
      <protection locked="0"/>
    </xf>
    <xf numFmtId="0" fontId="8" fillId="35" borderId="0" xfId="135" applyNumberFormat="1" applyFont="1" applyFill="1" applyBorder="1" applyAlignment="1" applyProtection="1">
      <alignment horizontal="right" vertical="top" shrinkToFit="1"/>
      <protection hidden="1"/>
    </xf>
    <xf numFmtId="0" fontId="2" fillId="35" borderId="0" xfId="135" applyNumberFormat="1" applyFont="1" applyFill="1" applyBorder="1" applyAlignment="1" applyProtection="1">
      <alignment horizontal="right" vertical="top" shrinkToFit="1"/>
      <protection hidden="1"/>
    </xf>
    <xf numFmtId="0" fontId="27" fillId="35" borderId="0" xfId="138" applyFont="1" applyFill="1" applyBorder="1" applyAlignment="1" applyProtection="1">
      <alignment vertical="top"/>
      <protection hidden="1"/>
    </xf>
    <xf numFmtId="0" fontId="2" fillId="35" borderId="0" xfId="135" applyFill="1" applyAlignment="1" applyProtection="1">
      <alignment vertical="top" wrapText="1"/>
      <protection hidden="1"/>
    </xf>
    <xf numFmtId="0" fontId="2" fillId="35" borderId="0" xfId="135" applyFill="1" applyBorder="1" applyAlignment="1" applyProtection="1">
      <alignment vertical="top" wrapText="1"/>
      <protection hidden="1"/>
    </xf>
    <xf numFmtId="0" fontId="2" fillId="35" borderId="12" xfId="135" applyFill="1" applyBorder="1" applyAlignment="1" applyProtection="1">
      <alignment horizontal="center" vertical="top" wrapText="1"/>
      <protection hidden="1"/>
    </xf>
    <xf numFmtId="0" fontId="2" fillId="0" borderId="0" xfId="135" applyAlignment="1" applyProtection="1">
      <alignment vertical="top" wrapText="1"/>
      <protection hidden="1"/>
    </xf>
    <xf numFmtId="0" fontId="2" fillId="35" borderId="12" xfId="135" applyFill="1" applyBorder="1" applyAlignment="1" applyProtection="1">
      <alignment horizontal="center" vertical="center"/>
      <protection hidden="1"/>
    </xf>
    <xf numFmtId="0" fontId="2" fillId="35" borderId="12" xfId="135" quotePrefix="1" applyFill="1" applyBorder="1" applyAlignment="1" applyProtection="1">
      <alignment horizontal="center" vertical="center"/>
      <protection hidden="1"/>
    </xf>
    <xf numFmtId="0" fontId="2" fillId="35" borderId="0" xfId="135" applyFont="1" applyFill="1" applyBorder="1" applyAlignment="1" applyProtection="1">
      <alignment vertical="top" wrapText="1"/>
      <protection hidden="1"/>
    </xf>
    <xf numFmtId="0" fontId="26" fillId="35" borderId="0" xfId="135" applyFont="1" applyFill="1" applyBorder="1" applyAlignment="1" applyProtection="1">
      <alignment vertical="top" wrapText="1"/>
      <protection hidden="1"/>
    </xf>
    <xf numFmtId="0" fontId="6" fillId="35" borderId="0" xfId="135" applyFont="1" applyFill="1" applyBorder="1" applyAlignment="1" applyProtection="1">
      <alignment vertical="top"/>
      <protection hidden="1"/>
    </xf>
    <xf numFmtId="0" fontId="6" fillId="35" borderId="0" xfId="135" quotePrefix="1" applyFont="1" applyFill="1" applyBorder="1" applyAlignment="1" applyProtection="1">
      <alignment vertical="top"/>
      <protection hidden="1"/>
    </xf>
    <xf numFmtId="0" fontId="10" fillId="35" borderId="7" xfId="135" applyFont="1" applyFill="1" applyBorder="1" applyAlignment="1" applyProtection="1">
      <alignment horizontal="center" vertical="center" shrinkToFit="1"/>
      <protection locked="0"/>
    </xf>
    <xf numFmtId="0" fontId="6" fillId="35" borderId="0" xfId="135" applyFont="1" applyFill="1" applyBorder="1" applyAlignment="1" applyProtection="1">
      <alignment horizontal="left" vertical="top" wrapText="1"/>
      <protection hidden="1"/>
    </xf>
    <xf numFmtId="0" fontId="6" fillId="35" borderId="0" xfId="135" applyNumberFormat="1" applyFont="1" applyFill="1" applyBorder="1" applyAlignment="1" applyProtection="1">
      <alignment horizontal="right" vertical="top" shrinkToFit="1"/>
      <protection hidden="1"/>
    </xf>
    <xf numFmtId="0" fontId="19" fillId="35" borderId="44" xfId="135" applyFont="1" applyFill="1" applyBorder="1" applyAlignment="1" applyProtection="1">
      <alignment vertical="center"/>
      <protection hidden="1"/>
    </xf>
    <xf numFmtId="0" fontId="19" fillId="35" borderId="1" xfId="135" applyFont="1" applyFill="1" applyBorder="1" applyAlignment="1" applyProtection="1">
      <alignment vertical="center"/>
      <protection hidden="1"/>
    </xf>
    <xf numFmtId="0" fontId="19" fillId="35" borderId="1" xfId="135" applyNumberFormat="1" applyFont="1" applyFill="1" applyBorder="1" applyAlignment="1" applyProtection="1">
      <alignment vertical="center"/>
      <protection hidden="1"/>
    </xf>
    <xf numFmtId="0" fontId="3" fillId="35" borderId="1" xfId="135" applyNumberFormat="1" applyFont="1" applyFill="1" applyBorder="1" applyAlignment="1" applyProtection="1">
      <alignment horizontal="centerContinuous" vertical="center" wrapText="1"/>
      <protection hidden="1"/>
    </xf>
    <xf numFmtId="0" fontId="2" fillId="35" borderId="45" xfId="135" applyFill="1" applyBorder="1" applyAlignment="1" applyProtection="1">
      <alignment vertical="top"/>
      <protection hidden="1"/>
    </xf>
    <xf numFmtId="0" fontId="2" fillId="35" borderId="0" xfId="135" applyNumberFormat="1" applyFont="1" applyFill="1" applyBorder="1" applyAlignment="1" applyProtection="1">
      <alignment vertical="top"/>
      <protection hidden="1"/>
    </xf>
    <xf numFmtId="0" fontId="2" fillId="0" borderId="0" xfId="135" applyNumberFormat="1" applyFont="1" applyFill="1" applyBorder="1" applyAlignment="1" applyProtection="1">
      <alignment vertical="top"/>
      <protection hidden="1"/>
    </xf>
    <xf numFmtId="0" fontId="3" fillId="0" borderId="0" xfId="135" applyNumberFormat="1" applyFont="1" applyFill="1" applyBorder="1" applyAlignment="1" applyProtection="1">
      <alignment horizontal="right" vertical="top"/>
      <protection hidden="1"/>
    </xf>
    <xf numFmtId="0" fontId="2" fillId="35" borderId="37" xfId="135" applyFill="1" applyBorder="1" applyAlignment="1" applyProtection="1">
      <alignment vertical="top"/>
      <protection hidden="1"/>
    </xf>
    <xf numFmtId="0" fontId="2" fillId="35" borderId="21" xfId="135" applyFill="1" applyBorder="1" applyAlignment="1" applyProtection="1">
      <alignment vertical="top"/>
      <protection hidden="1"/>
    </xf>
    <xf numFmtId="0" fontId="2" fillId="35" borderId="21" xfId="135" applyFill="1" applyBorder="1" applyAlignment="1" applyProtection="1">
      <alignment vertical="top" wrapText="1"/>
      <protection hidden="1"/>
    </xf>
    <xf numFmtId="9" fontId="2" fillId="35" borderId="21" xfId="135" applyNumberFormat="1" applyFill="1" applyBorder="1" applyAlignment="1" applyProtection="1">
      <alignment horizontal="center" vertical="top"/>
      <protection hidden="1"/>
    </xf>
    <xf numFmtId="9" fontId="3" fillId="35" borderId="21" xfId="135" applyNumberFormat="1" applyFont="1" applyFill="1" applyBorder="1" applyAlignment="1" applyProtection="1">
      <alignment horizontal="right" vertical="top"/>
      <protection hidden="1"/>
    </xf>
    <xf numFmtId="0" fontId="6" fillId="35" borderId="0" xfId="135" applyFont="1" applyFill="1" applyBorder="1" applyAlignment="1" applyProtection="1">
      <alignment vertical="top" wrapText="1"/>
      <protection hidden="1"/>
    </xf>
    <xf numFmtId="9" fontId="26" fillId="35" borderId="0" xfId="135" applyNumberFormat="1" applyFont="1" applyFill="1" applyBorder="1" applyAlignment="1" applyProtection="1">
      <alignment horizontal="center" vertical="top"/>
      <protection hidden="1"/>
    </xf>
    <xf numFmtId="0" fontId="3" fillId="35" borderId="0" xfId="135" applyFont="1" applyFill="1" applyBorder="1" applyAlignment="1" applyProtection="1">
      <alignment vertical="top"/>
      <protection hidden="1"/>
    </xf>
    <xf numFmtId="9" fontId="2" fillId="35" borderId="0" xfId="135" applyNumberFormat="1" applyFill="1" applyBorder="1" applyAlignment="1" applyProtection="1">
      <alignment horizontal="center" vertical="top"/>
      <protection hidden="1"/>
    </xf>
    <xf numFmtId="0" fontId="2" fillId="35" borderId="12" xfId="135" applyFont="1" applyFill="1" applyBorder="1" applyAlignment="1" applyProtection="1">
      <alignment horizontal="center" vertical="top"/>
      <protection hidden="1"/>
    </xf>
    <xf numFmtId="0" fontId="2" fillId="35" borderId="16" xfId="135" applyFont="1" applyFill="1" applyBorder="1" applyAlignment="1" applyProtection="1">
      <alignment vertical="top"/>
      <protection hidden="1"/>
    </xf>
    <xf numFmtId="0" fontId="2" fillId="35" borderId="15" xfId="135" applyFont="1" applyFill="1" applyBorder="1" applyAlignment="1" applyProtection="1">
      <alignment vertical="top"/>
      <protection hidden="1"/>
    </xf>
    <xf numFmtId="0" fontId="2" fillId="0" borderId="25" xfId="135" applyBorder="1" applyAlignment="1" applyProtection="1">
      <alignment vertical="top"/>
      <protection hidden="1"/>
    </xf>
    <xf numFmtId="0" fontId="2" fillId="0" borderId="25" xfId="135" applyFont="1" applyBorder="1" applyAlignment="1" applyProtection="1">
      <alignment vertical="top"/>
      <protection hidden="1"/>
    </xf>
    <xf numFmtId="0" fontId="26" fillId="35" borderId="0" xfId="135" applyFont="1" applyFill="1" applyAlignment="1" applyProtection="1">
      <alignment vertical="top"/>
      <protection hidden="1"/>
    </xf>
    <xf numFmtId="0" fontId="2" fillId="35" borderId="17" xfId="135" applyFont="1" applyFill="1" applyBorder="1" applyAlignment="1" applyProtection="1">
      <alignment vertical="top"/>
      <protection hidden="1"/>
    </xf>
    <xf numFmtId="0" fontId="6" fillId="35" borderId="0" xfId="135" applyFont="1" applyFill="1" applyAlignment="1" applyProtection="1">
      <alignment vertical="top"/>
      <protection hidden="1"/>
    </xf>
    <xf numFmtId="0" fontId="2" fillId="40" borderId="34" xfId="135" applyFont="1" applyFill="1" applyBorder="1" applyAlignment="1" applyProtection="1">
      <alignment vertical="top"/>
      <protection hidden="1"/>
    </xf>
    <xf numFmtId="0" fontId="2" fillId="40" borderId="35" xfId="135" applyFont="1" applyFill="1" applyBorder="1" applyAlignment="1" applyProtection="1">
      <alignment vertical="top"/>
      <protection hidden="1"/>
    </xf>
    <xf numFmtId="0" fontId="2" fillId="40" borderId="7" xfId="135" applyFont="1" applyFill="1" applyBorder="1" applyAlignment="1" applyProtection="1">
      <alignment vertical="top"/>
      <protection hidden="1"/>
    </xf>
    <xf numFmtId="0" fontId="2" fillId="40" borderId="36" xfId="135" applyFont="1" applyFill="1" applyBorder="1" applyAlignment="1" applyProtection="1">
      <alignment vertical="top"/>
      <protection hidden="1"/>
    </xf>
    <xf numFmtId="0" fontId="2" fillId="35" borderId="31" xfId="135" applyFont="1" applyFill="1" applyBorder="1" applyAlignment="1" applyProtection="1">
      <alignment vertical="top"/>
      <protection hidden="1"/>
    </xf>
    <xf numFmtId="0" fontId="26" fillId="0" borderId="25" xfId="135" applyFont="1" applyBorder="1" applyAlignment="1" applyProtection="1">
      <alignment horizontal="center" vertical="top"/>
      <protection hidden="1"/>
    </xf>
    <xf numFmtId="0" fontId="2" fillId="35" borderId="32" xfId="135" applyFill="1" applyBorder="1" applyAlignment="1" applyProtection="1">
      <alignment vertical="top"/>
      <protection hidden="1"/>
    </xf>
    <xf numFmtId="0" fontId="2" fillId="0" borderId="12" xfId="135" applyFont="1" applyFill="1" applyBorder="1" applyAlignment="1" applyProtection="1">
      <alignment horizontal="center" vertical="top"/>
      <protection hidden="1"/>
    </xf>
    <xf numFmtId="0" fontId="34" fillId="35" borderId="19" xfId="133" applyFill="1" applyBorder="1" applyAlignment="1" applyProtection="1">
      <alignment vertical="center"/>
      <protection hidden="1"/>
    </xf>
    <xf numFmtId="0" fontId="2" fillId="35" borderId="12" xfId="135" applyFont="1" applyFill="1" applyBorder="1" applyAlignment="1" applyProtection="1">
      <alignment horizontal="center" vertical="center"/>
      <protection hidden="1"/>
    </xf>
    <xf numFmtId="0" fontId="2" fillId="35" borderId="15" xfId="135" applyFont="1" applyFill="1" applyBorder="1" applyAlignment="1" applyProtection="1">
      <alignment vertical="center" wrapText="1"/>
      <protection hidden="1"/>
    </xf>
    <xf numFmtId="0" fontId="2" fillId="35" borderId="15" xfId="135" applyFont="1" applyFill="1" applyBorder="1" applyAlignment="1" applyProtection="1">
      <alignment vertical="center"/>
      <protection hidden="1"/>
    </xf>
    <xf numFmtId="0" fontId="2" fillId="35" borderId="25" xfId="135" applyFill="1" applyBorder="1" applyAlignment="1" applyProtection="1">
      <alignment vertical="center"/>
      <protection hidden="1"/>
    </xf>
    <xf numFmtId="0" fontId="6" fillId="35" borderId="0" xfId="135" applyFont="1" applyFill="1" applyAlignment="1" applyProtection="1">
      <alignment vertical="center"/>
      <protection hidden="1"/>
    </xf>
    <xf numFmtId="0" fontId="19" fillId="35" borderId="16" xfId="135" applyFont="1" applyFill="1" applyBorder="1" applyAlignment="1" applyProtection="1">
      <alignment vertical="center"/>
      <protection hidden="1"/>
    </xf>
    <xf numFmtId="0" fontId="19" fillId="35" borderId="15" xfId="135" applyFont="1" applyFill="1" applyBorder="1" applyAlignment="1" applyProtection="1">
      <alignment vertical="center"/>
      <protection hidden="1"/>
    </xf>
    <xf numFmtId="0" fontId="2" fillId="35" borderId="15" xfId="135" applyFill="1" applyBorder="1" applyAlignment="1" applyProtection="1">
      <alignment vertical="center"/>
      <protection hidden="1"/>
    </xf>
    <xf numFmtId="0" fontId="14" fillId="35" borderId="15" xfId="135" applyFont="1" applyFill="1" applyBorder="1" applyAlignment="1" applyProtection="1">
      <alignment horizontal="center" vertical="center"/>
      <protection locked="0"/>
    </xf>
    <xf numFmtId="0" fontId="3" fillId="35" borderId="15" xfId="135" quotePrefix="1" applyFont="1" applyFill="1" applyBorder="1" applyAlignment="1" applyProtection="1">
      <alignment vertical="center"/>
      <protection hidden="1"/>
    </xf>
    <xf numFmtId="0" fontId="26" fillId="35" borderId="0" xfId="135" applyFont="1" applyFill="1" applyBorder="1" applyAlignment="1" applyProtection="1">
      <alignment vertical="center" shrinkToFit="1"/>
      <protection hidden="1"/>
    </xf>
    <xf numFmtId="0" fontId="7" fillId="35" borderId="15" xfId="0" applyFont="1" applyFill="1" applyBorder="1" applyAlignment="1" applyProtection="1">
      <alignment vertical="top" wrapText="1"/>
      <protection hidden="1"/>
    </xf>
    <xf numFmtId="0" fontId="7" fillId="35" borderId="15" xfId="0" applyFont="1" applyFill="1" applyBorder="1" applyAlignment="1" applyProtection="1">
      <alignment vertical="top"/>
      <protection hidden="1"/>
    </xf>
    <xf numFmtId="0" fontId="26" fillId="35" borderId="15" xfId="135" applyFont="1" applyFill="1" applyBorder="1" applyAlignment="1" applyProtection="1">
      <alignment vertical="top"/>
      <protection hidden="1"/>
    </xf>
    <xf numFmtId="0" fontId="2" fillId="0" borderId="15" xfId="135" applyBorder="1" applyAlignment="1" applyProtection="1">
      <alignment vertical="top"/>
      <protection hidden="1"/>
    </xf>
    <xf numFmtId="0" fontId="2" fillId="35" borderId="0" xfId="135" applyFont="1" applyFill="1" applyBorder="1" applyAlignment="1" applyProtection="1">
      <alignment horizontal="center" vertical="top"/>
      <protection hidden="1"/>
    </xf>
    <xf numFmtId="0" fontId="11" fillId="35" borderId="0" xfId="0" applyFont="1" applyFill="1" applyBorder="1" applyAlignment="1" applyProtection="1">
      <alignment horizontal="left" vertical="top"/>
      <protection hidden="1"/>
    </xf>
    <xf numFmtId="17" fontId="34" fillId="35" borderId="19" xfId="133" applyNumberFormat="1" applyFill="1" applyBorder="1" applyAlignment="1" applyProtection="1">
      <alignment vertical="center"/>
      <protection hidden="1"/>
    </xf>
    <xf numFmtId="0" fontId="2" fillId="35" borderId="16" xfId="135" applyFont="1" applyFill="1" applyBorder="1" applyAlignment="1" applyProtection="1">
      <alignment vertical="center"/>
      <protection hidden="1"/>
    </xf>
    <xf numFmtId="0" fontId="2" fillId="35" borderId="25" xfId="135" applyFont="1" applyFill="1" applyBorder="1" applyAlignment="1" applyProtection="1">
      <alignment vertical="top"/>
      <protection hidden="1"/>
    </xf>
    <xf numFmtId="0" fontId="2" fillId="35" borderId="0" xfId="135" quotePrefix="1" applyFill="1" applyBorder="1" applyAlignment="1" applyProtection="1">
      <alignment vertical="top"/>
      <protection hidden="1"/>
    </xf>
    <xf numFmtId="0" fontId="2" fillId="35" borderId="0" xfId="135" applyFill="1" applyBorder="1" applyAlignment="1" applyProtection="1">
      <alignment vertical="top" shrinkToFit="1"/>
      <protection hidden="1"/>
    </xf>
    <xf numFmtId="0" fontId="2" fillId="35" borderId="0" xfId="135" applyFont="1" applyFill="1" applyAlignment="1" applyProtection="1">
      <alignment horizontal="right" vertical="top"/>
      <protection hidden="1"/>
    </xf>
    <xf numFmtId="0" fontId="2" fillId="35" borderId="0" xfId="135" applyFill="1" applyBorder="1" applyAlignment="1" applyProtection="1">
      <alignment horizontal="centerContinuous" vertical="top"/>
      <protection hidden="1"/>
    </xf>
    <xf numFmtId="0" fontId="101" fillId="35" borderId="0" xfId="135" applyFont="1" applyFill="1" applyBorder="1" applyAlignment="1" applyProtection="1">
      <alignment vertical="top"/>
      <protection hidden="1"/>
    </xf>
    <xf numFmtId="0" fontId="20" fillId="35" borderId="0" xfId="135" applyFont="1" applyFill="1" applyAlignment="1" applyProtection="1">
      <alignment vertical="top"/>
      <protection hidden="1"/>
    </xf>
    <xf numFmtId="0" fontId="20" fillId="35" borderId="0" xfId="135" applyFont="1" applyFill="1" applyBorder="1" applyAlignment="1" applyProtection="1">
      <alignment vertical="top"/>
      <protection hidden="1"/>
    </xf>
    <xf numFmtId="0" fontId="20" fillId="35" borderId="0" xfId="0" applyFont="1" applyFill="1" applyBorder="1" applyAlignment="1" applyProtection="1">
      <alignment horizontal="center" vertical="top" wrapText="1"/>
      <protection hidden="1"/>
    </xf>
    <xf numFmtId="0" fontId="20" fillId="0" borderId="0" xfId="135" applyFont="1" applyBorder="1" applyAlignment="1" applyProtection="1">
      <alignment vertical="top"/>
      <protection hidden="1"/>
    </xf>
    <xf numFmtId="0" fontId="20" fillId="35" borderId="0" xfId="0" applyNumberFormat="1" applyFont="1" applyFill="1" applyBorder="1" applyAlignment="1" applyProtection="1">
      <alignment horizontal="center"/>
      <protection hidden="1"/>
    </xf>
    <xf numFmtId="0" fontId="54" fillId="35" borderId="0" xfId="135" applyFont="1" applyFill="1" applyBorder="1" applyAlignment="1" applyProtection="1">
      <alignment vertical="top"/>
      <protection hidden="1"/>
    </xf>
    <xf numFmtId="0" fontId="55" fillId="35" borderId="0" xfId="135" applyFont="1" applyFill="1" applyBorder="1" applyAlignment="1" applyProtection="1">
      <alignment horizontal="center" vertical="top"/>
      <protection hidden="1"/>
    </xf>
    <xf numFmtId="0" fontId="20" fillId="0" borderId="0" xfId="135" applyFont="1" applyAlignment="1" applyProtection="1">
      <alignment vertical="top"/>
      <protection hidden="1"/>
    </xf>
    <xf numFmtId="1" fontId="54" fillId="35" borderId="0" xfId="135" applyNumberFormat="1" applyFont="1" applyFill="1" applyBorder="1" applyAlignment="1" applyProtection="1">
      <alignment vertical="top"/>
      <protection hidden="1"/>
    </xf>
    <xf numFmtId="0" fontId="20" fillId="35" borderId="0" xfId="135" applyFont="1" applyFill="1" applyBorder="1" applyAlignment="1" applyProtection="1">
      <alignment horizontal="center" vertical="top"/>
      <protection hidden="1"/>
    </xf>
    <xf numFmtId="0" fontId="26" fillId="35" borderId="0" xfId="135" applyFont="1" applyFill="1" applyBorder="1" applyAlignment="1" applyProtection="1">
      <alignment vertical="top"/>
      <protection hidden="1"/>
    </xf>
    <xf numFmtId="0" fontId="4" fillId="35" borderId="0" xfId="0" applyFont="1" applyFill="1" applyBorder="1" applyAlignment="1" applyProtection="1">
      <alignment vertical="center"/>
      <protection hidden="1"/>
    </xf>
    <xf numFmtId="0" fontId="4" fillId="35" borderId="15" xfId="133" applyFont="1" applyFill="1" applyBorder="1" applyAlignment="1" applyProtection="1">
      <alignment horizontal="right" vertical="top"/>
      <protection hidden="1"/>
    </xf>
    <xf numFmtId="0" fontId="0" fillId="0" borderId="25" xfId="0" applyBorder="1"/>
    <xf numFmtId="0" fontId="31" fillId="35" borderId="0" xfId="135" applyFont="1" applyFill="1" applyBorder="1" applyAlignment="1" applyProtection="1">
      <alignment vertical="top"/>
      <protection locked="0"/>
    </xf>
    <xf numFmtId="0" fontId="21" fillId="35" borderId="0" xfId="114" applyFont="1" applyFill="1" applyBorder="1" applyAlignment="1" applyProtection="1">
      <alignment horizontal="center" vertical="center" wrapText="1"/>
      <protection hidden="1"/>
    </xf>
    <xf numFmtId="0" fontId="26" fillId="35" borderId="0" xfId="135" applyFont="1" applyFill="1" applyAlignment="1" applyProtection="1">
      <alignment vertical="center"/>
      <protection hidden="1"/>
    </xf>
    <xf numFmtId="0" fontId="26" fillId="35" borderId="0" xfId="135" applyFont="1" applyFill="1" applyAlignment="1" applyProtection="1">
      <alignment vertical="top" wrapText="1"/>
      <protection hidden="1"/>
    </xf>
    <xf numFmtId="0" fontId="39" fillId="35" borderId="0" xfId="135" applyFont="1" applyFill="1" applyAlignment="1" applyProtection="1">
      <alignment vertical="top"/>
      <protection hidden="1"/>
    </xf>
    <xf numFmtId="0" fontId="39" fillId="35" borderId="0" xfId="135" applyFont="1" applyFill="1" applyBorder="1" applyAlignment="1" applyProtection="1">
      <alignment vertical="top"/>
      <protection hidden="1"/>
    </xf>
    <xf numFmtId="0" fontId="139" fillId="35" borderId="0" xfId="0" applyFont="1" applyFill="1" applyBorder="1" applyAlignment="1" applyProtection="1">
      <alignment horizontal="center" vertical="top" wrapText="1"/>
      <protection hidden="1"/>
    </xf>
    <xf numFmtId="0" fontId="139" fillId="35" borderId="0" xfId="0" applyNumberFormat="1" applyFont="1" applyFill="1" applyBorder="1" applyAlignment="1" applyProtection="1">
      <alignment horizontal="center" vertical="top"/>
      <protection locked="0"/>
    </xf>
    <xf numFmtId="0" fontId="139" fillId="35" borderId="0" xfId="135" applyFont="1" applyFill="1" applyBorder="1" applyAlignment="1" applyProtection="1">
      <alignment vertical="top"/>
      <protection hidden="1"/>
    </xf>
    <xf numFmtId="0" fontId="139" fillId="35" borderId="0" xfId="135" applyFont="1" applyFill="1" applyAlignment="1" applyProtection="1">
      <alignment vertical="top"/>
      <protection hidden="1"/>
    </xf>
    <xf numFmtId="0" fontId="2" fillId="35" borderId="0" xfId="135" applyFont="1" applyFill="1" applyBorder="1" applyAlignment="1" applyProtection="1">
      <alignment horizontal="center" vertical="center"/>
      <protection hidden="1"/>
    </xf>
    <xf numFmtId="0" fontId="2" fillId="35" borderId="0" xfId="135" applyFont="1" applyFill="1" applyBorder="1" applyAlignment="1" applyProtection="1">
      <alignment vertical="center"/>
      <protection hidden="1"/>
    </xf>
    <xf numFmtId="0" fontId="19" fillId="35" borderId="0" xfId="135" applyFont="1" applyFill="1" applyBorder="1" applyAlignment="1" applyProtection="1">
      <alignment vertical="center"/>
      <protection hidden="1"/>
    </xf>
    <xf numFmtId="0" fontId="2" fillId="0" borderId="0" xfId="135" applyFont="1" applyBorder="1" applyAlignment="1" applyProtection="1">
      <alignment vertical="top"/>
      <protection hidden="1"/>
    </xf>
    <xf numFmtId="0" fontId="4" fillId="35" borderId="0" xfId="133" applyFont="1" applyFill="1" applyBorder="1" applyAlignment="1" applyProtection="1">
      <alignment vertical="top"/>
      <protection hidden="1"/>
    </xf>
    <xf numFmtId="0" fontId="26" fillId="0" borderId="0" xfId="133" applyFont="1" applyBorder="1" applyAlignment="1" applyProtection="1">
      <alignment horizontal="center" vertical="top"/>
      <protection hidden="1"/>
    </xf>
    <xf numFmtId="0" fontId="31" fillId="35" borderId="0" xfId="133" applyFont="1" applyFill="1" applyBorder="1" applyAlignment="1" applyProtection="1">
      <alignment vertical="top"/>
      <protection locked="0"/>
    </xf>
    <xf numFmtId="0" fontId="0" fillId="0" borderId="0" xfId="0" applyFill="1" applyBorder="1" applyAlignment="1" applyProtection="1">
      <alignment vertical="center"/>
    </xf>
    <xf numFmtId="14" fontId="0" fillId="0" borderId="0" xfId="0" applyNumberForma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14" fontId="42" fillId="0" borderId="0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0" xfId="133" applyNumberFormat="1" applyFont="1" applyFill="1" applyBorder="1" applyAlignment="1" applyProtection="1">
      <alignment horizontal="right" vertical="top" shrinkToFit="1"/>
      <protection locked="0"/>
    </xf>
    <xf numFmtId="0" fontId="3" fillId="0" borderId="0" xfId="0" applyFont="1" applyFill="1" applyBorder="1" applyAlignment="1" applyProtection="1">
      <alignment vertical="center" shrinkToFit="1"/>
    </xf>
    <xf numFmtId="14" fontId="96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14" fillId="0" borderId="0" xfId="133" applyNumberFormat="1" applyFont="1" applyFill="1" applyBorder="1" applyAlignment="1" applyProtection="1">
      <alignment horizontal="center" vertical="top" shrinkToFit="1"/>
      <protection locked="0"/>
    </xf>
    <xf numFmtId="0" fontId="31" fillId="0" borderId="0" xfId="135" applyFont="1" applyFill="1" applyBorder="1" applyAlignment="1" applyProtection="1">
      <alignment vertical="top"/>
      <protection locked="0"/>
    </xf>
    <xf numFmtId="0" fontId="2" fillId="0" borderId="12" xfId="136" quotePrefix="1" applyFill="1" applyBorder="1" applyAlignment="1" applyProtection="1">
      <alignment horizontal="center" vertical="top"/>
      <protection hidden="1"/>
    </xf>
    <xf numFmtId="0" fontId="2" fillId="0" borderId="12" xfId="136" quotePrefix="1" applyFont="1" applyFill="1" applyBorder="1" applyAlignment="1" applyProtection="1">
      <alignment horizontal="center" vertical="top"/>
      <protection hidden="1"/>
    </xf>
    <xf numFmtId="0" fontId="2" fillId="0" borderId="17" xfId="136" applyFont="1" applyFill="1" applyBorder="1" applyAlignment="1" applyProtection="1">
      <alignment horizontal="centerContinuous" vertical="center"/>
      <protection hidden="1"/>
    </xf>
    <xf numFmtId="0" fontId="3" fillId="0" borderId="17" xfId="136" applyFont="1" applyFill="1" applyBorder="1" applyAlignment="1" applyProtection="1">
      <alignment vertical="center"/>
      <protection hidden="1"/>
    </xf>
    <xf numFmtId="0" fontId="140" fillId="35" borderId="0" xfId="135" applyFont="1" applyFill="1" applyBorder="1" applyAlignment="1" applyProtection="1">
      <alignment vertical="top" shrinkToFit="1"/>
      <protection hidden="1"/>
    </xf>
    <xf numFmtId="0" fontId="140" fillId="35" borderId="0" xfId="135" applyFont="1" applyFill="1" applyBorder="1" applyAlignment="1" applyProtection="1">
      <alignment vertical="top"/>
      <protection hidden="1"/>
    </xf>
    <xf numFmtId="0" fontId="143" fillId="0" borderId="16" xfId="136" applyFont="1" applyFill="1" applyBorder="1" applyAlignment="1" applyProtection="1">
      <alignment vertical="center"/>
      <protection hidden="1"/>
    </xf>
    <xf numFmtId="0" fontId="143" fillId="0" borderId="15" xfId="136" applyFont="1" applyFill="1" applyBorder="1" applyAlignment="1" applyProtection="1">
      <alignment vertical="center"/>
      <protection hidden="1"/>
    </xf>
    <xf numFmtId="0" fontId="2" fillId="35" borderId="33" xfId="136" applyFill="1" applyBorder="1" applyAlignment="1" applyProtection="1">
      <alignment horizontal="right" vertical="center"/>
      <protection hidden="1"/>
    </xf>
    <xf numFmtId="0" fontId="2" fillId="35" borderId="0" xfId="136" applyFill="1" applyBorder="1" applyAlignment="1" applyProtection="1">
      <alignment horizontal="right" vertical="center"/>
      <protection hidden="1"/>
    </xf>
    <xf numFmtId="0" fontId="2" fillId="35" borderId="19" xfId="136" applyFill="1" applyBorder="1" applyAlignment="1" applyProtection="1">
      <alignment horizontal="right" vertical="center"/>
      <protection hidden="1"/>
    </xf>
    <xf numFmtId="0" fontId="144" fillId="35" borderId="0" xfId="0" applyFont="1" applyFill="1" applyAlignment="1" applyProtection="1">
      <alignment vertical="center"/>
    </xf>
    <xf numFmtId="0" fontId="145" fillId="35" borderId="0" xfId="0" applyFont="1" applyFill="1" applyProtection="1"/>
    <xf numFmtId="0" fontId="44" fillId="37" borderId="22" xfId="0" applyFont="1" applyFill="1" applyBorder="1" applyAlignment="1" applyProtection="1">
      <alignment horizontal="centerContinuous" vertical="center"/>
    </xf>
    <xf numFmtId="0" fontId="39" fillId="37" borderId="22" xfId="0" applyFont="1" applyFill="1" applyBorder="1" applyAlignment="1" applyProtection="1">
      <alignment horizontal="centerContinuous" vertical="center"/>
    </xf>
    <xf numFmtId="0" fontId="39" fillId="37" borderId="23" xfId="0" applyFont="1" applyFill="1" applyBorder="1" applyAlignment="1" applyProtection="1">
      <alignment horizontal="centerContinuous" vertical="center"/>
    </xf>
    <xf numFmtId="0" fontId="57" fillId="37" borderId="24" xfId="114" applyFont="1" applyFill="1" applyBorder="1" applyAlignment="1" applyProtection="1">
      <alignment horizontal="centerContinuous" vertical="center"/>
    </xf>
    <xf numFmtId="0" fontId="21" fillId="0" borderId="51" xfId="114" applyFont="1" applyFill="1" applyBorder="1" applyAlignment="1" applyProtection="1">
      <alignment horizontal="centerContinuous" vertical="center" wrapText="1"/>
    </xf>
    <xf numFmtId="0" fontId="0" fillId="37" borderId="22" xfId="0" applyFill="1" applyBorder="1" applyAlignment="1" applyProtection="1">
      <alignment horizontal="centerContinuous" vertical="center"/>
    </xf>
    <xf numFmtId="0" fontId="0" fillId="37" borderId="23" xfId="0" applyFill="1" applyBorder="1" applyAlignment="1" applyProtection="1">
      <alignment horizontal="centerContinuous" vertical="center"/>
    </xf>
    <xf numFmtId="0" fontId="2" fillId="0" borderId="25" xfId="135" applyBorder="1" applyAlignment="1" applyProtection="1">
      <alignment vertical="center"/>
      <protection hidden="1"/>
    </xf>
    <xf numFmtId="0" fontId="112" fillId="36" borderId="0" xfId="114" applyFont="1" applyFill="1" applyBorder="1" applyAlignment="1" applyProtection="1">
      <alignment horizontal="center" vertical="center" wrapText="1"/>
      <protection hidden="1"/>
    </xf>
    <xf numFmtId="0" fontId="5" fillId="36" borderId="0" xfId="114" applyFill="1" applyBorder="1" applyAlignment="1" applyProtection="1">
      <alignment horizontal="center" vertical="center" wrapText="1"/>
      <protection hidden="1"/>
    </xf>
    <xf numFmtId="0" fontId="30" fillId="0" borderId="0" xfId="114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 applyBorder="1" applyAlignment="1" applyProtection="1">
      <alignment vertical="top"/>
      <protection hidden="1"/>
    </xf>
    <xf numFmtId="0" fontId="34" fillId="0" borderId="0" xfId="133" applyFill="1" applyAlignment="1" applyProtection="1">
      <alignment vertical="top"/>
      <protection hidden="1"/>
    </xf>
    <xf numFmtId="0" fontId="5" fillId="0" borderId="0" xfId="114" applyFill="1" applyBorder="1" applyAlignment="1" applyProtection="1">
      <alignment horizontal="center" vertical="center" wrapText="1"/>
      <protection hidden="1"/>
    </xf>
    <xf numFmtId="0" fontId="4" fillId="35" borderId="16" xfId="133" applyFont="1" applyFill="1" applyBorder="1" applyAlignment="1" applyProtection="1">
      <alignment vertical="center"/>
      <protection hidden="1"/>
    </xf>
    <xf numFmtId="0" fontId="34" fillId="0" borderId="25" xfId="133" applyBorder="1" applyAlignment="1" applyProtection="1">
      <alignment vertical="center"/>
      <protection hidden="1"/>
    </xf>
    <xf numFmtId="0" fontId="4" fillId="35" borderId="17" xfId="133" applyFont="1" applyFill="1" applyBorder="1" applyAlignment="1" applyProtection="1">
      <alignment vertical="center"/>
      <protection hidden="1"/>
    </xf>
    <xf numFmtId="0" fontId="142" fillId="40" borderId="37" xfId="0" applyFont="1" applyFill="1" applyBorder="1"/>
    <xf numFmtId="0" fontId="140" fillId="40" borderId="21" xfId="135" applyFont="1" applyFill="1" applyBorder="1" applyAlignment="1" applyProtection="1">
      <alignment vertical="top"/>
      <protection hidden="1"/>
    </xf>
    <xf numFmtId="0" fontId="140" fillId="40" borderId="21" xfId="135" applyFont="1" applyFill="1" applyBorder="1" applyAlignment="1" applyProtection="1">
      <alignment vertical="top" shrinkToFit="1"/>
      <protection hidden="1"/>
    </xf>
    <xf numFmtId="0" fontId="140" fillId="40" borderId="20" xfId="135" applyFont="1" applyFill="1" applyBorder="1" applyAlignment="1" applyProtection="1">
      <alignment vertical="top" shrinkToFit="1"/>
      <protection hidden="1"/>
    </xf>
    <xf numFmtId="0" fontId="141" fillId="35" borderId="52" xfId="135" applyFont="1" applyFill="1" applyBorder="1" applyAlignment="1" applyProtection="1">
      <alignment horizontal="center" vertical="center" shrinkToFit="1"/>
      <protection locked="0"/>
    </xf>
    <xf numFmtId="0" fontId="147" fillId="35" borderId="15" xfId="135" applyFont="1" applyFill="1" applyBorder="1" applyAlignment="1" applyProtection="1">
      <alignment vertical="top"/>
      <protection hidden="1"/>
    </xf>
    <xf numFmtId="0" fontId="148" fillId="35" borderId="15" xfId="0" applyFont="1" applyFill="1" applyBorder="1" applyAlignment="1" applyProtection="1">
      <alignment vertical="top"/>
      <protection hidden="1"/>
    </xf>
    <xf numFmtId="0" fontId="14" fillId="35" borderId="12" xfId="138" applyFont="1" applyFill="1" applyBorder="1" applyAlignment="1" applyProtection="1">
      <alignment vertical="top"/>
      <protection hidden="1"/>
    </xf>
    <xf numFmtId="0" fontId="100" fillId="35" borderId="12" xfId="138" applyFont="1" applyFill="1" applyBorder="1" applyAlignment="1" applyProtection="1">
      <alignment vertical="top"/>
      <protection hidden="1"/>
    </xf>
    <xf numFmtId="0" fontId="138" fillId="42" borderId="50" xfId="0" applyFont="1" applyFill="1" applyBorder="1" applyAlignment="1" applyProtection="1">
      <alignment horizontal="centerContinuous" vertical="top" shrinkToFit="1"/>
    </xf>
    <xf numFmtId="0" fontId="2" fillId="35" borderId="27" xfId="136" applyFont="1" applyFill="1" applyBorder="1" applyAlignment="1" applyProtection="1">
      <alignment horizontal="center" vertical="top"/>
      <protection hidden="1"/>
    </xf>
    <xf numFmtId="0" fontId="3" fillId="35" borderId="27" xfId="136" applyFont="1" applyFill="1" applyBorder="1" applyAlignment="1" applyProtection="1">
      <alignment horizontal="center" vertical="center"/>
      <protection hidden="1"/>
    </xf>
    <xf numFmtId="0" fontId="3" fillId="0" borderId="16" xfId="136" applyFont="1" applyFill="1" applyBorder="1" applyAlignment="1" applyProtection="1">
      <alignment vertical="center"/>
      <protection hidden="1"/>
    </xf>
    <xf numFmtId="0" fontId="3" fillId="0" borderId="15" xfId="136" applyFont="1" applyFill="1" applyBorder="1" applyAlignment="1" applyProtection="1">
      <alignment vertical="center"/>
      <protection hidden="1"/>
    </xf>
    <xf numFmtId="0" fontId="3" fillId="0" borderId="25" xfId="136" applyFont="1" applyFill="1" applyBorder="1" applyAlignment="1" applyProtection="1">
      <alignment vertical="center"/>
      <protection hidden="1"/>
    </xf>
    <xf numFmtId="0" fontId="151" fillId="35" borderId="0" xfId="0" applyFont="1" applyFill="1" applyBorder="1" applyAlignment="1" applyProtection="1">
      <alignment vertical="center"/>
      <protection hidden="1"/>
    </xf>
    <xf numFmtId="0" fontId="151" fillId="35" borderId="0" xfId="0" applyFont="1" applyFill="1" applyBorder="1" applyAlignment="1" applyProtection="1">
      <alignment vertical="top"/>
      <protection hidden="1"/>
    </xf>
    <xf numFmtId="0" fontId="103" fillId="35" borderId="43" xfId="0" applyFont="1" applyFill="1" applyBorder="1" applyProtection="1">
      <protection hidden="1"/>
    </xf>
    <xf numFmtId="0" fontId="104" fillId="35" borderId="43" xfId="0" applyFont="1" applyFill="1" applyBorder="1" applyProtection="1">
      <protection hidden="1"/>
    </xf>
    <xf numFmtId="0" fontId="17" fillId="35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</xf>
    <xf numFmtId="0" fontId="2" fillId="35" borderId="16" xfId="133" applyFont="1" applyFill="1" applyBorder="1" applyAlignment="1" applyProtection="1">
      <alignment vertical="top"/>
      <protection hidden="1"/>
    </xf>
    <xf numFmtId="0" fontId="2" fillId="35" borderId="15" xfId="133" applyFont="1" applyFill="1" applyBorder="1" applyAlignment="1" applyProtection="1">
      <alignment horizontal="right" vertical="top"/>
      <protection hidden="1"/>
    </xf>
    <xf numFmtId="0" fontId="103" fillId="35" borderId="0" xfId="133" applyFont="1" applyFill="1" applyAlignment="1" applyProtection="1">
      <alignment vertical="top"/>
      <protection hidden="1"/>
    </xf>
    <xf numFmtId="0" fontId="103" fillId="35" borderId="12" xfId="133" applyFont="1" applyFill="1" applyBorder="1" applyAlignment="1" applyProtection="1">
      <alignment horizontal="center" vertical="top"/>
      <protection hidden="1"/>
    </xf>
    <xf numFmtId="0" fontId="103" fillId="35" borderId="16" xfId="133" applyFont="1" applyFill="1" applyBorder="1" applyAlignment="1" applyProtection="1">
      <alignment vertical="top"/>
      <protection hidden="1"/>
    </xf>
    <xf numFmtId="0" fontId="103" fillId="35" borderId="15" xfId="133" applyFont="1" applyFill="1" applyBorder="1" applyAlignment="1" applyProtection="1">
      <alignment vertical="top"/>
      <protection hidden="1"/>
    </xf>
    <xf numFmtId="0" fontId="103" fillId="35" borderId="15" xfId="133" applyFont="1" applyFill="1" applyBorder="1" applyAlignment="1" applyProtection="1">
      <alignment horizontal="right" vertical="top"/>
      <protection hidden="1"/>
    </xf>
    <xf numFmtId="0" fontId="151" fillId="35" borderId="15" xfId="133" applyFont="1" applyFill="1" applyBorder="1" applyAlignment="1" applyProtection="1">
      <alignment vertical="top"/>
      <protection hidden="1"/>
    </xf>
    <xf numFmtId="0" fontId="151" fillId="35" borderId="15" xfId="133" applyFont="1" applyFill="1" applyBorder="1" applyAlignment="1" applyProtection="1">
      <alignment horizontal="right" vertical="top"/>
      <protection hidden="1"/>
    </xf>
    <xf numFmtId="0" fontId="103" fillId="35" borderId="15" xfId="136" applyFont="1" applyFill="1" applyBorder="1" applyAlignment="1" applyProtection="1">
      <alignment vertical="center"/>
      <protection hidden="1"/>
    </xf>
    <xf numFmtId="0" fontId="35" fillId="35" borderId="0" xfId="133" applyFont="1" applyFill="1" applyAlignment="1" applyProtection="1">
      <alignment horizontal="centerContinuous" vertical="center"/>
      <protection hidden="1"/>
    </xf>
    <xf numFmtId="0" fontId="35" fillId="35" borderId="0" xfId="133" applyFont="1" applyFill="1" applyAlignment="1" applyProtection="1">
      <alignment horizontal="right" vertical="center"/>
      <protection hidden="1"/>
    </xf>
    <xf numFmtId="0" fontId="34" fillId="0" borderId="0" xfId="133" applyFill="1" applyAlignment="1" applyProtection="1">
      <alignment vertical="center"/>
      <protection hidden="1"/>
    </xf>
    <xf numFmtId="0" fontId="4" fillId="35" borderId="15" xfId="133" applyFont="1" applyFill="1" applyBorder="1" applyAlignment="1" applyProtection="1">
      <alignment horizontal="right" vertical="center"/>
      <protection hidden="1"/>
    </xf>
    <xf numFmtId="0" fontId="26" fillId="35" borderId="0" xfId="133" applyFont="1" applyFill="1" applyAlignment="1" applyProtection="1">
      <alignment vertical="center"/>
      <protection hidden="1"/>
    </xf>
    <xf numFmtId="0" fontId="135" fillId="35" borderId="0" xfId="133" applyFont="1" applyFill="1" applyAlignment="1" applyProtection="1">
      <alignment vertical="center"/>
      <protection hidden="1"/>
    </xf>
    <xf numFmtId="0" fontId="136" fillId="35" borderId="0" xfId="133" applyFont="1" applyFill="1" applyAlignment="1" applyProtection="1">
      <alignment vertical="center"/>
      <protection hidden="1"/>
    </xf>
    <xf numFmtId="0" fontId="0" fillId="35" borderId="0" xfId="0" applyFill="1" applyBorder="1" applyAlignment="1" applyProtection="1">
      <alignment horizontal="left" vertical="center" indent="1"/>
    </xf>
    <xf numFmtId="0" fontId="14" fillId="35" borderId="0" xfId="0" applyFont="1" applyFill="1" applyBorder="1" applyAlignment="1" applyProtection="1">
      <alignment vertical="center"/>
      <protection locked="0"/>
    </xf>
    <xf numFmtId="0" fontId="25" fillId="35" borderId="0" xfId="0" applyFont="1" applyFill="1" applyBorder="1" applyAlignment="1" applyProtection="1">
      <alignment vertical="center"/>
      <protection locked="0"/>
    </xf>
    <xf numFmtId="0" fontId="0" fillId="35" borderId="0" xfId="0" applyFill="1" applyBorder="1" applyAlignment="1" applyProtection="1">
      <alignment horizontal="center" vertical="center"/>
      <protection locked="0"/>
    </xf>
    <xf numFmtId="167" fontId="14" fillId="35" borderId="0" xfId="0" applyNumberFormat="1" applyFont="1" applyFill="1" applyBorder="1" applyAlignment="1" applyProtection="1">
      <alignment horizontal="left" vertical="center" shrinkToFit="1"/>
      <protection locked="0"/>
    </xf>
    <xf numFmtId="0" fontId="0" fillId="35" borderId="0" xfId="0" applyFill="1" applyBorder="1" applyAlignment="1" applyProtection="1">
      <alignment horizontal="left" vertical="center" shrinkToFit="1"/>
      <protection locked="0"/>
    </xf>
    <xf numFmtId="0" fontId="0" fillId="0" borderId="12" xfId="0" applyBorder="1" applyAlignment="1" applyProtection="1">
      <alignment horizontal="left" vertical="center" indent="1"/>
    </xf>
    <xf numFmtId="17" fontId="0" fillId="0" borderId="12" xfId="0" applyNumberFormat="1" applyBorder="1" applyAlignment="1" applyProtection="1">
      <alignment horizontal="center" vertical="center"/>
    </xf>
    <xf numFmtId="0" fontId="0" fillId="0" borderId="12" xfId="0" applyBorder="1" applyAlignment="1" applyProtection="1">
      <alignment vertical="center"/>
    </xf>
    <xf numFmtId="0" fontId="14" fillId="35" borderId="12" xfId="0" applyFont="1" applyFill="1" applyBorder="1" applyAlignment="1" applyProtection="1">
      <alignment horizontal="left" vertical="center" indent="1"/>
    </xf>
    <xf numFmtId="0" fontId="0" fillId="35" borderId="12" xfId="0" applyFill="1" applyBorder="1" applyAlignment="1" applyProtection="1">
      <alignment horizontal="left" vertical="center" indent="1"/>
    </xf>
    <xf numFmtId="0" fontId="0" fillId="0" borderId="12" xfId="0" applyFill="1" applyBorder="1" applyAlignment="1" applyProtection="1">
      <alignment horizontal="left" vertical="center" indent="1"/>
    </xf>
    <xf numFmtId="0" fontId="3" fillId="0" borderId="12" xfId="0" applyFont="1" applyBorder="1" applyAlignment="1" applyProtection="1">
      <alignment vertical="center" shrinkToFit="1"/>
      <protection hidden="1"/>
    </xf>
    <xf numFmtId="0" fontId="3" fillId="40" borderId="12" xfId="0" applyFont="1" applyFill="1" applyBorder="1" applyAlignment="1" applyProtection="1">
      <alignment horizontal="left" vertical="center" indent="1"/>
    </xf>
    <xf numFmtId="0" fontId="3" fillId="40" borderId="12" xfId="0" applyFont="1" applyFill="1" applyBorder="1" applyAlignment="1" applyProtection="1">
      <alignment horizontal="center" vertical="center" shrinkToFit="1"/>
    </xf>
    <xf numFmtId="0" fontId="3" fillId="0" borderId="12" xfId="0" applyFont="1" applyBorder="1" applyAlignment="1" applyProtection="1">
      <alignment horizontal="left" vertical="center" indent="1"/>
    </xf>
    <xf numFmtId="0" fontId="14" fillId="0" borderId="12" xfId="0" applyFont="1" applyBorder="1" applyAlignment="1" applyProtection="1">
      <alignment horizontal="left" vertical="center" indent="1"/>
    </xf>
    <xf numFmtId="0" fontId="3" fillId="40" borderId="12" xfId="0" applyFont="1" applyFill="1" applyBorder="1" applyAlignment="1" applyProtection="1">
      <alignment horizontal="right" vertical="center"/>
    </xf>
    <xf numFmtId="0" fontId="0" fillId="0" borderId="26" xfId="0" applyBorder="1" applyAlignment="1" applyProtection="1">
      <alignment horizontal="left" vertical="center" indent="1"/>
    </xf>
    <xf numFmtId="0" fontId="14" fillId="0" borderId="26" xfId="132" applyFont="1" applyFill="1" applyBorder="1" applyAlignment="1" applyProtection="1">
      <alignment horizontal="center" vertical="center" shrinkToFit="1"/>
      <protection locked="0"/>
    </xf>
    <xf numFmtId="0" fontId="0" fillId="0" borderId="27" xfId="0" applyBorder="1" applyAlignment="1" applyProtection="1">
      <alignment horizontal="left" vertical="center" indent="1"/>
    </xf>
    <xf numFmtId="0" fontId="14" fillId="0" borderId="27" xfId="132" applyFont="1" applyFill="1" applyBorder="1" applyAlignment="1" applyProtection="1">
      <alignment horizontal="center" vertical="center" shrinkToFit="1"/>
      <protection locked="0"/>
    </xf>
    <xf numFmtId="0" fontId="0" fillId="0" borderId="28" xfId="0" applyBorder="1" applyAlignment="1" applyProtection="1">
      <alignment horizontal="left" vertical="center" indent="1"/>
    </xf>
    <xf numFmtId="0" fontId="14" fillId="0" borderId="12" xfId="132" applyFont="1" applyFill="1" applyBorder="1" applyAlignment="1" applyProtection="1">
      <alignment horizontal="right" vertical="center" indent="1" shrinkToFit="1"/>
      <protection locked="0"/>
    </xf>
    <xf numFmtId="0" fontId="3" fillId="0" borderId="12" xfId="0" applyFont="1" applyBorder="1" applyAlignment="1" applyProtection="1">
      <alignment horizontal="right" vertical="center" indent="1" shrinkToFit="1"/>
    </xf>
    <xf numFmtId="0" fontId="3" fillId="35" borderId="12" xfId="0" applyFont="1" applyFill="1" applyBorder="1" applyAlignment="1" applyProtection="1">
      <alignment horizontal="right" vertical="center" indent="1" shrinkToFit="1"/>
    </xf>
    <xf numFmtId="0" fontId="3" fillId="0" borderId="12" xfId="0" applyFont="1" applyFill="1" applyBorder="1" applyAlignment="1" applyProtection="1">
      <alignment horizontal="right" vertical="center" indent="1" shrinkToFit="1"/>
    </xf>
    <xf numFmtId="0" fontId="3" fillId="0" borderId="26" xfId="0" applyFont="1" applyBorder="1" applyAlignment="1" applyProtection="1">
      <alignment horizontal="right" vertical="center" indent="1" shrinkToFit="1"/>
    </xf>
    <xf numFmtId="0" fontId="3" fillId="0" borderId="27" xfId="0" applyFont="1" applyBorder="1" applyAlignment="1" applyProtection="1">
      <alignment horizontal="right" vertical="center" indent="1" shrinkToFit="1"/>
      <protection hidden="1"/>
    </xf>
    <xf numFmtId="0" fontId="3" fillId="0" borderId="28" xfId="0" applyFont="1" applyBorder="1" applyAlignment="1" applyProtection="1">
      <alignment horizontal="right" vertical="center" indent="1" shrinkToFit="1"/>
      <protection hidden="1"/>
    </xf>
    <xf numFmtId="0" fontId="3" fillId="40" borderId="12" xfId="0" applyFont="1" applyFill="1" applyBorder="1" applyAlignment="1" applyProtection="1">
      <alignment horizontal="right" vertical="center" indent="1" shrinkToFit="1"/>
    </xf>
    <xf numFmtId="1" fontId="3" fillId="40" borderId="12" xfId="0" applyNumberFormat="1" applyFont="1" applyFill="1" applyBorder="1" applyAlignment="1" applyProtection="1">
      <alignment horizontal="right" vertical="center" indent="1" shrinkToFit="1"/>
    </xf>
    <xf numFmtId="0" fontId="14" fillId="0" borderId="26" xfId="132" applyFont="1" applyFill="1" applyBorder="1" applyAlignment="1" applyProtection="1">
      <alignment horizontal="right" vertical="center" indent="1" shrinkToFit="1"/>
      <protection locked="0"/>
    </xf>
    <xf numFmtId="0" fontId="14" fillId="0" borderId="27" xfId="132" applyFont="1" applyFill="1" applyBorder="1" applyAlignment="1" applyProtection="1">
      <alignment horizontal="right" vertical="center" indent="1" shrinkToFit="1"/>
      <protection locked="0"/>
    </xf>
    <xf numFmtId="0" fontId="3" fillId="0" borderId="27" xfId="0" applyFont="1" applyBorder="1" applyAlignment="1" applyProtection="1">
      <alignment horizontal="right" vertical="center" indent="1" shrinkToFit="1"/>
    </xf>
    <xf numFmtId="0" fontId="3" fillId="0" borderId="28" xfId="0" applyFont="1" applyBorder="1" applyAlignment="1" applyProtection="1">
      <alignment horizontal="right" vertical="center" indent="1" shrinkToFit="1"/>
    </xf>
    <xf numFmtId="0" fontId="152" fillId="35" borderId="0" xfId="0" applyFont="1" applyFill="1" applyAlignment="1" applyProtection="1">
      <alignment vertical="top"/>
      <protection hidden="1"/>
    </xf>
    <xf numFmtId="0" fontId="153" fillId="35" borderId="0" xfId="0" applyFont="1" applyFill="1" applyBorder="1" applyAlignment="1" applyProtection="1">
      <alignment horizontal="left" vertical="top"/>
      <protection hidden="1"/>
    </xf>
    <xf numFmtId="0" fontId="152" fillId="35" borderId="0" xfId="0" applyFont="1" applyFill="1" applyBorder="1" applyAlignment="1" applyProtection="1">
      <alignment vertical="top"/>
      <protection hidden="1"/>
    </xf>
    <xf numFmtId="0" fontId="152" fillId="35" borderId="0" xfId="0" applyFont="1" applyFill="1" applyBorder="1" applyAlignment="1" applyProtection="1">
      <alignment vertical="center"/>
      <protection hidden="1"/>
    </xf>
    <xf numFmtId="0" fontId="152" fillId="0" borderId="0" xfId="0" applyFont="1" applyBorder="1" applyAlignment="1" applyProtection="1">
      <alignment vertical="top"/>
      <protection hidden="1"/>
    </xf>
    <xf numFmtId="0" fontId="152" fillId="0" borderId="0" xfId="0" applyFont="1" applyAlignment="1" applyProtection="1">
      <alignment vertical="top"/>
      <protection hidden="1"/>
    </xf>
    <xf numFmtId="0" fontId="7" fillId="35" borderId="0" xfId="0" applyFont="1" applyFill="1" applyBorder="1" applyAlignment="1" applyProtection="1">
      <alignment horizontal="left" vertical="center"/>
      <protection hidden="1"/>
    </xf>
    <xf numFmtId="0" fontId="155" fillId="35" borderId="0" xfId="138" applyFont="1" applyFill="1" applyBorder="1" applyAlignment="1" applyProtection="1">
      <alignment vertical="center"/>
      <protection hidden="1"/>
    </xf>
    <xf numFmtId="0" fontId="2" fillId="0" borderId="16" xfId="136" applyFont="1" applyFill="1" applyBorder="1" applyAlignment="1" applyProtection="1">
      <alignment vertical="center"/>
      <protection hidden="1"/>
    </xf>
    <xf numFmtId="0" fontId="0" fillId="35" borderId="34" xfId="0" applyFill="1" applyBorder="1" applyAlignment="1" applyProtection="1">
      <alignment horizontal="right" vertical="center" indent="2"/>
      <protection hidden="1"/>
    </xf>
    <xf numFmtId="0" fontId="0" fillId="35" borderId="35" xfId="0" applyFill="1" applyBorder="1" applyAlignment="1" applyProtection="1">
      <alignment horizontal="right" vertical="center" indent="2"/>
      <protection hidden="1"/>
    </xf>
    <xf numFmtId="0" fontId="2" fillId="35" borderId="30" xfId="0" applyFont="1" applyFill="1" applyBorder="1" applyAlignment="1" applyProtection="1">
      <alignment horizontal="left" vertical="center"/>
      <protection hidden="1"/>
    </xf>
    <xf numFmtId="0" fontId="20" fillId="0" borderId="0" xfId="136" applyFont="1" applyFill="1" applyAlignment="1" applyProtection="1">
      <alignment horizontal="left" vertical="center"/>
      <protection hidden="1"/>
    </xf>
    <xf numFmtId="0" fontId="2" fillId="0" borderId="15" xfId="136" applyFill="1" applyBorder="1" applyAlignment="1" applyProtection="1">
      <alignment vertical="center"/>
      <protection hidden="1"/>
    </xf>
    <xf numFmtId="0" fontId="2" fillId="0" borderId="12" xfId="136" quotePrefix="1" applyFont="1" applyFill="1" applyBorder="1" applyAlignment="1" applyProtection="1">
      <alignment horizontal="center" vertical="center"/>
      <protection hidden="1"/>
    </xf>
    <xf numFmtId="0" fontId="2" fillId="0" borderId="16" xfId="136" applyFill="1" applyBorder="1" applyAlignment="1" applyProtection="1">
      <alignment horizontal="left" vertical="center"/>
      <protection hidden="1"/>
    </xf>
    <xf numFmtId="0" fontId="2" fillId="0" borderId="15" xfId="136" applyFill="1" applyBorder="1" applyAlignment="1" applyProtection="1">
      <alignment horizontal="left" vertical="center"/>
      <protection hidden="1"/>
    </xf>
    <xf numFmtId="0" fontId="2" fillId="0" borderId="12" xfId="136" applyFont="1" applyFill="1" applyBorder="1" applyAlignment="1" applyProtection="1">
      <alignment horizontal="center" vertical="center"/>
      <protection hidden="1"/>
    </xf>
    <xf numFmtId="0" fontId="2" fillId="0" borderId="15" xfId="136" applyFont="1" applyFill="1" applyBorder="1" applyAlignment="1" applyProtection="1">
      <alignment vertical="center" wrapText="1"/>
      <protection hidden="1"/>
    </xf>
    <xf numFmtId="0" fontId="2" fillId="0" borderId="25" xfId="136" applyFont="1" applyFill="1" applyBorder="1" applyAlignment="1" applyProtection="1">
      <alignment vertical="center" wrapText="1"/>
      <protection hidden="1"/>
    </xf>
    <xf numFmtId="0" fontId="2" fillId="0" borderId="0" xfId="136" applyFill="1" applyAlignment="1" applyProtection="1">
      <alignment vertical="center"/>
      <protection hidden="1"/>
    </xf>
    <xf numFmtId="0" fontId="3" fillId="0" borderId="31" xfId="136" applyFont="1" applyFill="1" applyBorder="1" applyAlignment="1" applyProtection="1">
      <alignment vertical="center"/>
      <protection hidden="1"/>
    </xf>
    <xf numFmtId="0" fontId="2" fillId="0" borderId="31" xfId="136" applyFont="1" applyFill="1" applyBorder="1" applyAlignment="1" applyProtection="1">
      <alignment vertical="center"/>
      <protection hidden="1"/>
    </xf>
    <xf numFmtId="0" fontId="2" fillId="0" borderId="0" xfId="136" applyFont="1" applyFill="1" applyAlignment="1" applyProtection="1">
      <alignment vertical="center"/>
      <protection hidden="1"/>
    </xf>
    <xf numFmtId="0" fontId="2" fillId="35" borderId="30" xfId="136" applyFill="1" applyBorder="1" applyAlignment="1" applyProtection="1">
      <alignment horizontal="right" vertical="center"/>
      <protection hidden="1"/>
    </xf>
    <xf numFmtId="0" fontId="2" fillId="35" borderId="31" xfId="136" applyFill="1" applyBorder="1" applyAlignment="1" applyProtection="1">
      <alignment horizontal="right" vertical="center"/>
      <protection hidden="1"/>
    </xf>
    <xf numFmtId="0" fontId="2" fillId="35" borderId="32" xfId="136" applyFill="1" applyBorder="1" applyAlignment="1" applyProtection="1">
      <alignment horizontal="right" vertical="center"/>
      <protection hidden="1"/>
    </xf>
    <xf numFmtId="0" fontId="2" fillId="35" borderId="12" xfId="136" quotePrefix="1" applyFont="1" applyFill="1" applyBorder="1" applyAlignment="1" applyProtection="1">
      <alignment horizontal="center" vertical="top"/>
      <protection hidden="1"/>
    </xf>
    <xf numFmtId="0" fontId="2" fillId="35" borderId="12" xfId="136" quotePrefix="1" applyFill="1" applyBorder="1" applyAlignment="1" applyProtection="1">
      <alignment horizontal="center" vertical="top"/>
      <protection hidden="1"/>
    </xf>
    <xf numFmtId="0" fontId="2" fillId="35" borderId="0" xfId="0" applyFont="1" applyFill="1" applyBorder="1" applyAlignment="1" applyProtection="1">
      <alignment vertical="top" shrinkToFit="1"/>
      <protection locked="0"/>
    </xf>
    <xf numFmtId="0" fontId="14" fillId="0" borderId="12" xfId="132" applyFont="1" applyFill="1" applyBorder="1" applyAlignment="1" applyProtection="1">
      <alignment horizontal="right" vertical="center" shrinkToFit="1"/>
      <protection locked="0"/>
    </xf>
    <xf numFmtId="0" fontId="14" fillId="0" borderId="26" xfId="132" applyFont="1" applyFill="1" applyBorder="1" applyAlignment="1" applyProtection="1">
      <alignment horizontal="right" vertical="center" shrinkToFit="1"/>
      <protection locked="0"/>
    </xf>
    <xf numFmtId="0" fontId="14" fillId="0" borderId="27" xfId="132" applyFont="1" applyFill="1" applyBorder="1" applyAlignment="1" applyProtection="1">
      <alignment horizontal="right" vertical="center" shrinkToFit="1"/>
      <protection locked="0"/>
    </xf>
    <xf numFmtId="0" fontId="14" fillId="0" borderId="28" xfId="132" applyFont="1" applyFill="1" applyBorder="1" applyAlignment="1" applyProtection="1">
      <alignment horizontal="right" vertical="center" shrinkToFit="1"/>
      <protection locked="0"/>
    </xf>
    <xf numFmtId="1" fontId="3" fillId="40" borderId="12" xfId="0" applyNumberFormat="1" applyFont="1" applyFill="1" applyBorder="1" applyAlignment="1" applyProtection="1">
      <alignment horizontal="right" vertical="center" shrinkToFit="1"/>
    </xf>
    <xf numFmtId="0" fontId="14" fillId="0" borderId="12" xfId="134" applyNumberFormat="1" applyFont="1" applyFill="1" applyBorder="1" applyAlignment="1" applyProtection="1">
      <alignment horizontal="right" vertical="center" indent="1" shrinkToFit="1"/>
      <protection locked="0"/>
    </xf>
    <xf numFmtId="0" fontId="14" fillId="0" borderId="27" xfId="134" applyNumberFormat="1" applyFont="1" applyFill="1" applyBorder="1" applyAlignment="1" applyProtection="1">
      <alignment horizontal="right" vertical="center" indent="1" shrinkToFit="1"/>
      <protection locked="0"/>
    </xf>
    <xf numFmtId="0" fontId="26" fillId="35" borderId="31" xfId="135" applyFont="1" applyFill="1" applyBorder="1" applyAlignment="1" applyProtection="1">
      <alignment horizontal="center" vertical="top"/>
      <protection hidden="1"/>
    </xf>
    <xf numFmtId="0" fontId="26" fillId="35" borderId="31" xfId="135" applyFont="1" applyFill="1" applyBorder="1" applyAlignment="1" applyProtection="1">
      <alignment vertical="top"/>
      <protection hidden="1"/>
    </xf>
    <xf numFmtId="0" fontId="26" fillId="0" borderId="31" xfId="135" applyFont="1" applyBorder="1" applyAlignment="1" applyProtection="1">
      <alignment vertical="top"/>
      <protection hidden="1"/>
    </xf>
    <xf numFmtId="0" fontId="104" fillId="35" borderId="0" xfId="135" applyFont="1" applyFill="1" applyBorder="1" applyAlignment="1" applyProtection="1">
      <alignment vertical="top"/>
      <protection hidden="1"/>
    </xf>
    <xf numFmtId="0" fontId="156" fillId="35" borderId="0" xfId="0" applyFont="1" applyFill="1" applyBorder="1" applyAlignment="1" applyProtection="1">
      <alignment vertical="top"/>
      <protection hidden="1"/>
    </xf>
    <xf numFmtId="0" fontId="157" fillId="35" borderId="0" xfId="0" applyFont="1" applyFill="1" applyBorder="1" applyAlignment="1" applyProtection="1">
      <alignment horizontal="left" vertical="top"/>
      <protection hidden="1"/>
    </xf>
    <xf numFmtId="0" fontId="158" fillId="35" borderId="0" xfId="0" applyFont="1" applyFill="1" applyBorder="1" applyAlignment="1" applyProtection="1">
      <alignment vertical="top"/>
      <protection hidden="1"/>
    </xf>
    <xf numFmtId="0" fontId="158" fillId="35" borderId="0" xfId="0" applyFont="1" applyFill="1" applyBorder="1" applyAlignment="1" applyProtection="1">
      <alignment vertical="center"/>
      <protection hidden="1"/>
    </xf>
    <xf numFmtId="0" fontId="159" fillId="35" borderId="0" xfId="0" applyFont="1" applyFill="1" applyBorder="1" applyAlignment="1" applyProtection="1">
      <alignment vertical="top"/>
      <protection hidden="1"/>
    </xf>
    <xf numFmtId="0" fontId="160" fillId="35" borderId="0" xfId="0" applyFont="1" applyFill="1" applyBorder="1" applyAlignment="1" applyProtection="1">
      <alignment vertical="center"/>
      <protection hidden="1"/>
    </xf>
    <xf numFmtId="0" fontId="160" fillId="35" borderId="0" xfId="0" applyFont="1" applyFill="1" applyBorder="1" applyAlignment="1" applyProtection="1">
      <alignment vertical="top"/>
      <protection hidden="1"/>
    </xf>
    <xf numFmtId="0" fontId="160" fillId="0" borderId="0" xfId="0" applyFont="1" applyAlignment="1" applyProtection="1">
      <alignment vertical="top"/>
      <protection hidden="1"/>
    </xf>
    <xf numFmtId="0" fontId="160" fillId="35" borderId="0" xfId="0" applyFont="1" applyFill="1" applyBorder="1" applyAlignment="1" applyProtection="1">
      <alignment horizontal="right" vertical="top"/>
      <protection hidden="1"/>
    </xf>
    <xf numFmtId="0" fontId="159" fillId="35" borderId="0" xfId="0" applyFont="1" applyFill="1" applyBorder="1" applyAlignment="1" applyProtection="1">
      <alignment horizontal="left" vertical="center" shrinkToFit="1"/>
      <protection hidden="1"/>
    </xf>
    <xf numFmtId="0" fontId="160" fillId="35" borderId="0" xfId="0" applyFont="1" applyFill="1" applyBorder="1" applyAlignment="1" applyProtection="1">
      <alignment horizontal="left" vertical="center" shrinkToFit="1"/>
      <protection hidden="1"/>
    </xf>
    <xf numFmtId="0" fontId="160" fillId="35" borderId="0" xfId="0" applyFont="1" applyFill="1" applyBorder="1" applyAlignment="1" applyProtection="1">
      <alignment horizontal="right" vertical="center" indent="1"/>
      <protection hidden="1"/>
    </xf>
    <xf numFmtId="0" fontId="0" fillId="35" borderId="14" xfId="0" applyFill="1" applyBorder="1" applyAlignment="1" applyProtection="1">
      <alignment vertical="center"/>
      <protection hidden="1"/>
    </xf>
    <xf numFmtId="0" fontId="2" fillId="35" borderId="0" xfId="0" applyFont="1" applyFill="1" applyBorder="1" applyAlignment="1" applyProtection="1">
      <alignment horizontal="right" vertical="center" indent="1"/>
      <protection locked="0"/>
    </xf>
    <xf numFmtId="0" fontId="2" fillId="35" borderId="0" xfId="0" quotePrefix="1" applyFont="1" applyFill="1" applyBorder="1" applyAlignment="1" applyProtection="1">
      <alignment horizontal="left" vertical="top"/>
      <protection hidden="1"/>
    </xf>
    <xf numFmtId="0" fontId="28" fillId="36" borderId="0" xfId="138" applyFont="1" applyFill="1" applyBorder="1" applyAlignment="1" applyProtection="1">
      <alignment vertical="center"/>
      <protection locked="0"/>
    </xf>
    <xf numFmtId="0" fontId="109" fillId="35" borderId="0" xfId="138" applyFont="1" applyFill="1" applyBorder="1" applyAlignment="1" applyProtection="1">
      <alignment horizontal="left" vertical="center"/>
      <protection locked="0"/>
    </xf>
    <xf numFmtId="0" fontId="98" fillId="35" borderId="0" xfId="138" applyFont="1" applyFill="1" applyBorder="1" applyAlignment="1" applyProtection="1">
      <alignment horizontal="left" vertical="center"/>
      <protection locked="0"/>
    </xf>
    <xf numFmtId="0" fontId="10" fillId="35" borderId="0" xfId="138" applyFont="1" applyFill="1" applyBorder="1" applyAlignment="1" applyProtection="1">
      <alignment horizontal="center" vertical="center"/>
    </xf>
    <xf numFmtId="0" fontId="162" fillId="35" borderId="0" xfId="138" applyFont="1" applyFill="1" applyBorder="1" applyAlignment="1" applyProtection="1">
      <alignment vertical="center"/>
      <protection locked="0"/>
    </xf>
    <xf numFmtId="0" fontId="26" fillId="35" borderId="0" xfId="138" applyFont="1" applyFill="1" applyBorder="1" applyAlignment="1" applyProtection="1">
      <alignment vertical="center"/>
      <protection locked="0"/>
    </xf>
    <xf numFmtId="0" fontId="162" fillId="35" borderId="0" xfId="138" applyFont="1" applyFill="1" applyBorder="1" applyAlignment="1" applyProtection="1">
      <alignment horizontal="left" vertical="center"/>
      <protection locked="0"/>
    </xf>
    <xf numFmtId="0" fontId="139" fillId="35" borderId="0" xfId="138" applyFont="1" applyFill="1" applyBorder="1" applyAlignment="1" applyProtection="1">
      <alignment horizontal="left" vertical="center"/>
      <protection locked="0"/>
    </xf>
    <xf numFmtId="0" fontId="47" fillId="37" borderId="0" xfId="138" applyFont="1" applyFill="1" applyBorder="1" applyAlignment="1" applyProtection="1">
      <alignment vertical="center"/>
      <protection hidden="1"/>
    </xf>
    <xf numFmtId="0" fontId="28" fillId="35" borderId="0" xfId="138" applyFont="1" applyFill="1" applyBorder="1" applyAlignment="1" applyProtection="1">
      <alignment vertical="center"/>
      <protection locked="0"/>
    </xf>
    <xf numFmtId="0" fontId="38" fillId="35" borderId="0" xfId="138" applyFont="1" applyFill="1" applyBorder="1" applyAlignment="1" applyProtection="1">
      <alignment horizontal="right" vertical="center"/>
      <protection hidden="1"/>
    </xf>
    <xf numFmtId="0" fontId="26" fillId="0" borderId="33" xfId="136" applyFont="1" applyFill="1" applyBorder="1" applyAlignment="1" applyProtection="1">
      <alignment horizontal="right" vertical="top"/>
      <protection hidden="1"/>
    </xf>
    <xf numFmtId="0" fontId="26" fillId="0" borderId="0" xfId="136" applyFont="1" applyFill="1" applyBorder="1" applyAlignment="1" applyProtection="1">
      <alignment horizontal="right" vertical="top"/>
      <protection hidden="1"/>
    </xf>
    <xf numFmtId="0" fontId="26" fillId="0" borderId="19" xfId="136" applyFont="1" applyFill="1" applyBorder="1" applyAlignment="1" applyProtection="1">
      <alignment horizontal="right" vertical="top"/>
      <protection hidden="1"/>
    </xf>
    <xf numFmtId="0" fontId="44" fillId="35" borderId="0" xfId="0" applyFont="1" applyFill="1" applyBorder="1" applyAlignment="1" applyProtection="1">
      <alignment vertical="top"/>
      <protection hidden="1"/>
    </xf>
    <xf numFmtId="0" fontId="104" fillId="35" borderId="0" xfId="0" applyFont="1" applyFill="1" applyBorder="1" applyAlignment="1" applyProtection="1">
      <alignment vertical="top"/>
      <protection hidden="1"/>
    </xf>
    <xf numFmtId="0" fontId="137" fillId="35" borderId="0" xfId="0" applyFont="1" applyFill="1" applyBorder="1" applyAlignment="1" applyProtection="1">
      <alignment horizontal="left" vertical="top"/>
      <protection hidden="1"/>
    </xf>
    <xf numFmtId="0" fontId="144" fillId="35" borderId="0" xfId="0" applyFont="1" applyFill="1" applyBorder="1" applyAlignment="1" applyProtection="1">
      <alignment vertical="top"/>
      <protection hidden="1"/>
    </xf>
    <xf numFmtId="0" fontId="145" fillId="35" borderId="0" xfId="0" applyFont="1" applyFill="1" applyBorder="1" applyAlignment="1" applyProtection="1">
      <alignment vertical="center"/>
      <protection hidden="1"/>
    </xf>
    <xf numFmtId="0" fontId="145" fillId="35" borderId="1" xfId="0" applyFont="1" applyFill="1" applyBorder="1" applyAlignment="1" applyProtection="1">
      <alignment horizontal="right" vertical="center" indent="1"/>
      <protection hidden="1"/>
    </xf>
    <xf numFmtId="0" fontId="0" fillId="0" borderId="12" xfId="0" applyBorder="1" applyAlignment="1" applyProtection="1">
      <alignment horizontal="left" vertical="center" wrapText="1" indent="1"/>
    </xf>
    <xf numFmtId="0" fontId="42" fillId="0" borderId="31" xfId="136" applyFont="1" applyFill="1" applyBorder="1" applyAlignment="1" applyProtection="1">
      <alignment vertical="center"/>
      <protection hidden="1"/>
    </xf>
    <xf numFmtId="0" fontId="149" fillId="0" borderId="31" xfId="136" applyFont="1" applyFill="1" applyBorder="1" applyAlignment="1" applyProtection="1">
      <alignment vertical="center"/>
      <protection hidden="1"/>
    </xf>
    <xf numFmtId="0" fontId="42" fillId="0" borderId="31" xfId="136" applyFont="1" applyFill="1" applyBorder="1" applyAlignment="1" applyProtection="1">
      <alignment horizontal="right" vertical="center"/>
      <protection hidden="1"/>
    </xf>
    <xf numFmtId="0" fontId="42" fillId="0" borderId="32" xfId="136" applyFont="1" applyFill="1" applyBorder="1" applyAlignment="1" applyProtection="1">
      <alignment horizontal="right" vertical="center"/>
      <protection hidden="1"/>
    </xf>
    <xf numFmtId="0" fontId="6" fillId="35" borderId="1" xfId="0" applyFont="1" applyFill="1" applyBorder="1" applyAlignment="1" applyProtection="1">
      <alignment horizontal="right" vertical="center" indent="1"/>
      <protection hidden="1"/>
    </xf>
    <xf numFmtId="0" fontId="6" fillId="35" borderId="0" xfId="0" applyFont="1" applyFill="1" applyBorder="1" applyAlignment="1" applyProtection="1">
      <alignment vertical="center"/>
      <protection hidden="1"/>
    </xf>
    <xf numFmtId="0" fontId="47" fillId="37" borderId="0" xfId="138" applyFont="1" applyFill="1" applyBorder="1" applyAlignment="1" applyProtection="1">
      <alignment horizontal="left" vertical="center"/>
      <protection hidden="1"/>
    </xf>
    <xf numFmtId="0" fontId="47" fillId="37" borderId="0" xfId="138" applyFont="1" applyFill="1" applyAlignment="1" applyProtection="1">
      <alignment horizontal="left" vertical="center"/>
      <protection hidden="1"/>
    </xf>
    <xf numFmtId="0" fontId="164" fillId="37" borderId="0" xfId="138" applyFont="1" applyFill="1" applyBorder="1" applyAlignment="1" applyProtection="1">
      <alignment horizontal="left" vertical="center"/>
      <protection hidden="1"/>
    </xf>
    <xf numFmtId="0" fontId="21" fillId="37" borderId="0" xfId="138" applyFont="1" applyFill="1" applyBorder="1" applyAlignment="1" applyProtection="1">
      <alignment horizontal="left" vertical="center"/>
      <protection hidden="1"/>
    </xf>
    <xf numFmtId="0" fontId="21" fillId="37" borderId="0" xfId="138" applyFont="1" applyFill="1" applyBorder="1" applyAlignment="1" applyProtection="1">
      <alignment vertical="center"/>
      <protection hidden="1"/>
    </xf>
    <xf numFmtId="0" fontId="2" fillId="35" borderId="15" xfId="136" applyFill="1" applyBorder="1" applyAlignment="1" applyProtection="1">
      <alignment vertical="center" shrinkToFit="1"/>
      <protection hidden="1"/>
    </xf>
    <xf numFmtId="14" fontId="14" fillId="35" borderId="15" xfId="133" applyNumberFormat="1" applyFont="1" applyFill="1" applyBorder="1" applyAlignment="1" applyProtection="1">
      <alignment horizontal="left" vertical="center" shrinkToFit="1"/>
      <protection locked="0"/>
    </xf>
    <xf numFmtId="0" fontId="14" fillId="35" borderId="25" xfId="133" applyFont="1" applyFill="1" applyBorder="1" applyAlignment="1" applyProtection="1">
      <alignment horizontal="left" vertical="center" shrinkToFit="1"/>
      <protection locked="0"/>
    </xf>
    <xf numFmtId="0" fontId="14" fillId="35" borderId="15" xfId="133" applyFont="1" applyFill="1" applyBorder="1" applyAlignment="1" applyProtection="1">
      <alignment horizontal="left" vertical="center"/>
      <protection locked="0"/>
    </xf>
    <xf numFmtId="0" fontId="4" fillId="35" borderId="15" xfId="133" applyFont="1" applyFill="1" applyBorder="1" applyAlignment="1" applyProtection="1">
      <alignment horizontal="left" vertical="center" indent="1"/>
      <protection hidden="1"/>
    </xf>
    <xf numFmtId="0" fontId="35" fillId="35" borderId="16" xfId="133" applyFont="1" applyFill="1" applyBorder="1" applyAlignment="1" applyProtection="1">
      <alignment horizontal="left" vertical="center" indent="1"/>
      <protection hidden="1"/>
    </xf>
    <xf numFmtId="0" fontId="20" fillId="0" borderId="0" xfId="136" applyFont="1" applyFill="1" applyAlignment="1" applyProtection="1">
      <alignment vertical="top"/>
      <protection hidden="1"/>
    </xf>
    <xf numFmtId="0" fontId="2" fillId="0" borderId="0" xfId="136" applyFont="1" applyAlignment="1" applyProtection="1">
      <alignment vertical="top"/>
      <protection hidden="1"/>
    </xf>
    <xf numFmtId="0" fontId="2" fillId="36" borderId="0" xfId="136" applyFont="1" applyFill="1" applyAlignment="1" applyProtection="1">
      <alignment horizontal="center" vertical="top"/>
      <protection hidden="1"/>
    </xf>
    <xf numFmtId="0" fontId="2" fillId="36" borderId="0" xfId="136" applyFont="1" applyFill="1" applyAlignment="1" applyProtection="1">
      <alignment horizontal="left" vertical="top"/>
      <protection hidden="1"/>
    </xf>
    <xf numFmtId="0" fontId="2" fillId="35" borderId="0" xfId="136" applyFont="1" applyFill="1" applyAlignment="1" applyProtection="1">
      <alignment vertical="center"/>
      <protection hidden="1"/>
    </xf>
    <xf numFmtId="0" fontId="2" fillId="0" borderId="0" xfId="136" applyFont="1" applyAlignment="1" applyProtection="1">
      <alignment vertical="center"/>
      <protection hidden="1"/>
    </xf>
    <xf numFmtId="0" fontId="165" fillId="35" borderId="0" xfId="0" applyFont="1" applyFill="1" applyAlignment="1">
      <alignment horizontal="centerContinuous" vertical="center"/>
    </xf>
    <xf numFmtId="0" fontId="2" fillId="35" borderId="0" xfId="0" applyFont="1" applyFill="1" applyAlignment="1">
      <alignment vertical="center"/>
    </xf>
    <xf numFmtId="0" fontId="165" fillId="35" borderId="0" xfId="0" applyFont="1" applyFill="1" applyAlignment="1">
      <alignment horizontal="center" vertical="center"/>
    </xf>
    <xf numFmtId="0" fontId="165" fillId="35" borderId="0" xfId="0" applyFont="1" applyFill="1" applyAlignment="1">
      <alignment horizontal="center"/>
    </xf>
    <xf numFmtId="0" fontId="2" fillId="35" borderId="0" xfId="0" applyFont="1" applyFill="1" applyAlignment="1"/>
    <xf numFmtId="0" fontId="2" fillId="35" borderId="0" xfId="0" applyFont="1" applyFill="1"/>
    <xf numFmtId="0" fontId="166" fillId="35" borderId="2" xfId="0" applyFont="1" applyFill="1" applyBorder="1"/>
    <xf numFmtId="0" fontId="166" fillId="43" borderId="2" xfId="0" applyFont="1" applyFill="1" applyBorder="1" applyAlignment="1" applyProtection="1">
      <alignment horizontal="center"/>
      <protection locked="0"/>
    </xf>
    <xf numFmtId="0" fontId="167" fillId="35" borderId="2" xfId="0" applyFont="1" applyFill="1" applyBorder="1"/>
    <xf numFmtId="2" fontId="166" fillId="44" borderId="2" xfId="0" applyNumberFormat="1" applyFont="1" applyFill="1" applyBorder="1" applyAlignment="1" applyProtection="1">
      <alignment horizontal="center"/>
      <protection hidden="1"/>
    </xf>
    <xf numFmtId="0" fontId="166" fillId="35" borderId="0" xfId="0" applyFont="1" applyFill="1"/>
    <xf numFmtId="0" fontId="166" fillId="35" borderId="0" xfId="0" applyFont="1" applyFill="1" applyAlignment="1">
      <alignment horizontal="center"/>
    </xf>
    <xf numFmtId="0" fontId="2" fillId="35" borderId="0" xfId="0" applyFont="1" applyFill="1" applyBorder="1"/>
    <xf numFmtId="0" fontId="2" fillId="0" borderId="0" xfId="136" applyFont="1" applyFill="1" applyAlignment="1" applyProtection="1">
      <alignment horizontal="right" vertical="top"/>
      <protection hidden="1"/>
    </xf>
    <xf numFmtId="0" fontId="2" fillId="0" borderId="0" xfId="136" applyFont="1" applyFill="1" applyAlignment="1" applyProtection="1">
      <alignment vertical="top"/>
      <protection hidden="1"/>
    </xf>
    <xf numFmtId="0" fontId="167" fillId="35" borderId="0" xfId="0" applyFont="1" applyFill="1" applyBorder="1" applyAlignment="1">
      <alignment vertical="center"/>
    </xf>
    <xf numFmtId="0" fontId="2" fillId="0" borderId="0" xfId="136" applyFont="1" applyAlignment="1" applyProtection="1">
      <alignment horizontal="right" vertical="top"/>
      <protection hidden="1"/>
    </xf>
    <xf numFmtId="0" fontId="2" fillId="36" borderId="0" xfId="136" applyFont="1" applyFill="1" applyAlignment="1" applyProtection="1">
      <alignment vertical="top"/>
      <protection hidden="1"/>
    </xf>
    <xf numFmtId="0" fontId="167" fillId="35" borderId="0" xfId="0" applyFont="1" applyFill="1" applyBorder="1" applyAlignment="1">
      <alignment horizontal="center"/>
    </xf>
    <xf numFmtId="0" fontId="2" fillId="35" borderId="0" xfId="0" applyFont="1" applyFill="1" applyBorder="1" applyAlignment="1">
      <alignment horizontal="center"/>
    </xf>
    <xf numFmtId="0" fontId="168" fillId="35" borderId="0" xfId="114" applyFont="1" applyFill="1" applyAlignment="1" applyProtection="1"/>
    <xf numFmtId="0" fontId="3" fillId="35" borderId="0" xfId="136" applyFont="1" applyFill="1" applyAlignment="1" applyProtection="1">
      <alignment horizontal="center" vertical="top"/>
      <protection locked="0"/>
    </xf>
    <xf numFmtId="0" fontId="166" fillId="44" borderId="0" xfId="0" applyFont="1" applyFill="1" applyAlignment="1">
      <alignment horizontal="center"/>
    </xf>
    <xf numFmtId="0" fontId="168" fillId="35" borderId="0" xfId="0" applyFont="1" applyFill="1" applyAlignment="1"/>
    <xf numFmtId="0" fontId="3" fillId="0" borderId="7" xfId="0" applyFont="1" applyBorder="1" applyAlignment="1" applyProtection="1">
      <alignment horizontal="center" vertical="center"/>
    </xf>
    <xf numFmtId="0" fontId="104" fillId="35" borderId="0" xfId="136" applyFont="1" applyFill="1" applyAlignment="1" applyProtection="1">
      <alignment vertical="top"/>
      <protection hidden="1"/>
    </xf>
    <xf numFmtId="0" fontId="104" fillId="35" borderId="0" xfId="136" applyFont="1" applyFill="1" applyAlignment="1" applyProtection="1">
      <alignment vertical="center"/>
      <protection hidden="1"/>
    </xf>
    <xf numFmtId="0" fontId="2" fillId="35" borderId="26" xfId="136" applyFont="1" applyFill="1" applyBorder="1" applyAlignment="1" applyProtection="1">
      <alignment horizontal="center" vertical="top"/>
      <protection hidden="1"/>
    </xf>
    <xf numFmtId="0" fontId="6" fillId="35" borderId="12" xfId="133" applyFont="1" applyFill="1" applyBorder="1" applyAlignment="1" applyProtection="1">
      <alignment horizontal="center" vertical="center"/>
      <protection hidden="1"/>
    </xf>
    <xf numFmtId="0" fontId="6" fillId="35" borderId="16" xfId="133" applyFont="1" applyFill="1" applyBorder="1" applyAlignment="1" applyProtection="1">
      <alignment vertical="center"/>
      <protection hidden="1"/>
    </xf>
    <xf numFmtId="0" fontId="6" fillId="35" borderId="15" xfId="133" applyFont="1" applyFill="1" applyBorder="1" applyAlignment="1" applyProtection="1">
      <alignment vertical="center"/>
      <protection hidden="1"/>
    </xf>
    <xf numFmtId="0" fontId="6" fillId="0" borderId="25" xfId="133" applyFont="1" applyBorder="1" applyAlignment="1" applyProtection="1">
      <alignment vertical="center"/>
      <protection hidden="1"/>
    </xf>
    <xf numFmtId="0" fontId="8" fillId="35" borderId="16" xfId="133" applyFont="1" applyFill="1" applyBorder="1" applyAlignment="1" applyProtection="1">
      <alignment vertical="center"/>
      <protection locked="0"/>
    </xf>
    <xf numFmtId="0" fontId="4" fillId="35" borderId="15" xfId="133" applyFont="1" applyFill="1" applyBorder="1" applyAlignment="1" applyProtection="1">
      <alignment vertical="center"/>
      <protection locked="0"/>
    </xf>
    <xf numFmtId="0" fontId="26" fillId="0" borderId="25" xfId="133" applyFont="1" applyBorder="1" applyAlignment="1" applyProtection="1">
      <alignment horizontal="center" vertical="center"/>
      <protection locked="0"/>
    </xf>
    <xf numFmtId="0" fontId="2" fillId="35" borderId="16" xfId="136" applyFont="1" applyFill="1" applyBorder="1" applyAlignment="1" applyProtection="1">
      <alignment vertical="center"/>
      <protection hidden="1"/>
    </xf>
    <xf numFmtId="0" fontId="2" fillId="0" borderId="15" xfId="136" applyFont="1" applyFill="1" applyBorder="1" applyAlignment="1" applyProtection="1">
      <alignment vertical="center"/>
      <protection hidden="1"/>
    </xf>
    <xf numFmtId="0" fontId="139" fillId="35" borderId="0" xfId="0" applyFont="1" applyFill="1" applyBorder="1" applyAlignment="1" applyProtection="1">
      <alignment vertical="center"/>
      <protection hidden="1"/>
    </xf>
    <xf numFmtId="0" fontId="3" fillId="0" borderId="15" xfId="136" quotePrefix="1" applyFont="1" applyFill="1" applyBorder="1" applyAlignment="1" applyProtection="1">
      <alignment vertical="center"/>
      <protection hidden="1"/>
    </xf>
    <xf numFmtId="0" fontId="3" fillId="0" borderId="25" xfId="136" quotePrefix="1" applyFont="1" applyFill="1" applyBorder="1" applyAlignment="1" applyProtection="1">
      <alignment vertical="center"/>
      <protection hidden="1"/>
    </xf>
    <xf numFmtId="0" fontId="3" fillId="0" borderId="16" xfId="136" quotePrefix="1" applyFont="1" applyFill="1" applyBorder="1" applyAlignment="1" applyProtection="1">
      <alignment vertical="center"/>
      <protection hidden="1"/>
    </xf>
    <xf numFmtId="0" fontId="2" fillId="35" borderId="25" xfId="136" applyFont="1" applyFill="1" applyBorder="1" applyAlignment="1" applyProtection="1">
      <alignment vertical="center"/>
      <protection hidden="1"/>
    </xf>
    <xf numFmtId="0" fontId="2" fillId="35" borderId="16" xfId="136" quotePrefix="1" applyFont="1" applyFill="1" applyBorder="1" applyAlignment="1" applyProtection="1">
      <alignment vertical="center"/>
      <protection hidden="1"/>
    </xf>
    <xf numFmtId="0" fontId="2" fillId="0" borderId="15" xfId="136" applyFont="1" applyFill="1" applyBorder="1" applyAlignment="1" applyProtection="1">
      <alignment horizontal="right" vertical="center"/>
      <protection hidden="1"/>
    </xf>
    <xf numFmtId="0" fontId="2" fillId="0" borderId="25" xfId="136" applyFont="1" applyFill="1" applyBorder="1" applyAlignment="1" applyProtection="1">
      <alignment horizontal="right" vertical="center"/>
      <protection hidden="1"/>
    </xf>
    <xf numFmtId="0" fontId="2" fillId="35" borderId="29" xfId="0" applyFont="1" applyFill="1" applyBorder="1" applyAlignment="1" applyProtection="1">
      <alignment horizontal="right" vertical="center"/>
      <protection hidden="1"/>
    </xf>
    <xf numFmtId="0" fontId="2" fillId="35" borderId="33" xfId="0" applyFont="1" applyFill="1" applyBorder="1" applyAlignment="1" applyProtection="1">
      <alignment horizontal="right" vertical="center"/>
      <protection hidden="1"/>
    </xf>
    <xf numFmtId="0" fontId="2" fillId="35" borderId="12" xfId="136" quotePrefix="1" applyFont="1" applyFill="1" applyBorder="1" applyAlignment="1" applyProtection="1">
      <alignment vertical="center"/>
      <protection hidden="1"/>
    </xf>
    <xf numFmtId="0" fontId="2" fillId="0" borderId="25" xfId="136" applyFont="1" applyFill="1" applyBorder="1" applyAlignment="1" applyProtection="1">
      <alignment vertical="center"/>
      <protection hidden="1"/>
    </xf>
    <xf numFmtId="0" fontId="117" fillId="0" borderId="16" xfId="136" applyFont="1" applyFill="1" applyBorder="1" applyAlignment="1" applyProtection="1">
      <alignment vertical="center"/>
      <protection hidden="1"/>
    </xf>
    <xf numFmtId="0" fontId="2" fillId="0" borderId="16" xfId="136" quotePrefix="1" applyFont="1" applyFill="1" applyBorder="1" applyAlignment="1" applyProtection="1">
      <alignment vertical="center"/>
      <protection hidden="1"/>
    </xf>
    <xf numFmtId="0" fontId="3" fillId="0" borderId="30" xfId="136" quotePrefix="1" applyFont="1" applyFill="1" applyBorder="1" applyAlignment="1" applyProtection="1">
      <alignment vertical="center"/>
      <protection hidden="1"/>
    </xf>
    <xf numFmtId="0" fontId="2" fillId="0" borderId="0" xfId="0" applyFont="1" applyAlignment="1">
      <alignment vertical="center"/>
    </xf>
    <xf numFmtId="0" fontId="2" fillId="0" borderId="31" xfId="136" applyFill="1" applyBorder="1" applyAlignment="1" applyProtection="1">
      <alignment vertical="center"/>
      <protection hidden="1"/>
    </xf>
    <xf numFmtId="0" fontId="169" fillId="35" borderId="0" xfId="0" applyFont="1" applyFill="1" applyBorder="1" applyAlignment="1" applyProtection="1">
      <alignment horizontal="right" vertical="center" indent="1"/>
      <protection hidden="1"/>
    </xf>
    <xf numFmtId="0" fontId="169" fillId="35" borderId="0" xfId="0" applyFont="1" applyFill="1" applyBorder="1" applyAlignment="1" applyProtection="1">
      <alignment vertical="center"/>
      <protection hidden="1"/>
    </xf>
    <xf numFmtId="0" fontId="169" fillId="35" borderId="0" xfId="0" applyFont="1" applyFill="1" applyBorder="1" applyAlignment="1" applyProtection="1">
      <alignment vertical="top"/>
      <protection hidden="1"/>
    </xf>
    <xf numFmtId="0" fontId="26" fillId="35" borderId="15" xfId="136" applyFont="1" applyFill="1" applyBorder="1" applyAlignment="1" applyProtection="1">
      <alignment vertical="center" shrinkToFit="1"/>
      <protection hidden="1"/>
    </xf>
    <xf numFmtId="0" fontId="151" fillId="35" borderId="15" xfId="136" applyFont="1" applyFill="1" applyBorder="1" applyAlignment="1" applyProtection="1">
      <alignment vertical="center"/>
      <protection hidden="1"/>
    </xf>
    <xf numFmtId="0" fontId="2" fillId="35" borderId="25" xfId="136" applyFill="1" applyBorder="1" applyAlignment="1" applyProtection="1">
      <alignment vertical="center"/>
      <protection hidden="1"/>
    </xf>
    <xf numFmtId="0" fontId="166" fillId="35" borderId="0" xfId="0" applyFont="1" applyFill="1" applyBorder="1" applyAlignment="1">
      <alignment horizontal="center" vertical="center"/>
    </xf>
    <xf numFmtId="0" fontId="6" fillId="35" borderId="28" xfId="136" applyFont="1" applyFill="1" applyBorder="1" applyAlignment="1" applyProtection="1">
      <alignment horizontal="center" vertical="center"/>
      <protection hidden="1"/>
    </xf>
    <xf numFmtId="0" fontId="4" fillId="35" borderId="32" xfId="136" applyFont="1" applyFill="1" applyBorder="1" applyAlignment="1" applyProtection="1">
      <alignment vertical="center"/>
      <protection hidden="1"/>
    </xf>
    <xf numFmtId="0" fontId="2" fillId="35" borderId="28" xfId="136" applyFill="1" applyBorder="1" applyAlignment="1" applyProtection="1">
      <alignment horizontal="center" vertical="center"/>
      <protection hidden="1"/>
    </xf>
    <xf numFmtId="0" fontId="151" fillId="35" borderId="25" xfId="136" applyFont="1" applyFill="1" applyBorder="1" applyAlignment="1" applyProtection="1">
      <alignment vertical="center"/>
      <protection hidden="1"/>
    </xf>
    <xf numFmtId="0" fontId="2" fillId="35" borderId="26" xfId="136" applyFill="1" applyBorder="1" applyAlignment="1" applyProtection="1">
      <alignment horizontal="center" vertical="center"/>
      <protection hidden="1"/>
    </xf>
    <xf numFmtId="0" fontId="26" fillId="35" borderId="25" xfId="136" applyFont="1" applyFill="1" applyBorder="1" applyAlignment="1" applyProtection="1">
      <alignment vertical="center"/>
      <protection hidden="1"/>
    </xf>
    <xf numFmtId="182" fontId="2" fillId="35" borderId="15" xfId="136" applyNumberFormat="1" applyFont="1" applyFill="1" applyBorder="1" applyAlignment="1" applyProtection="1">
      <alignment horizontal="right" vertical="center"/>
      <protection hidden="1"/>
    </xf>
    <xf numFmtId="0" fontId="2" fillId="35" borderId="15" xfId="136" applyFont="1" applyFill="1" applyBorder="1" applyAlignment="1" applyProtection="1">
      <alignment vertical="center" shrinkToFit="1"/>
      <protection hidden="1"/>
    </xf>
    <xf numFmtId="0" fontId="26" fillId="35" borderId="43" xfId="0" applyFont="1" applyFill="1" applyBorder="1" applyAlignment="1" applyProtection="1">
      <alignment vertical="center"/>
    </xf>
    <xf numFmtId="0" fontId="154" fillId="0" borderId="7" xfId="132" applyFont="1" applyFill="1" applyBorder="1" applyAlignment="1" applyProtection="1">
      <alignment horizontal="center" vertical="center" shrinkToFit="1"/>
      <protection locked="0"/>
    </xf>
    <xf numFmtId="0" fontId="2" fillId="35" borderId="0" xfId="136" applyFont="1" applyFill="1" applyAlignment="1" applyProtection="1">
      <alignment horizontal="right" vertical="center"/>
      <protection hidden="1"/>
    </xf>
    <xf numFmtId="0" fontId="6" fillId="35" borderId="0" xfId="136" applyFont="1" applyFill="1" applyAlignment="1" applyProtection="1">
      <alignment vertical="center"/>
      <protection hidden="1"/>
    </xf>
    <xf numFmtId="0" fontId="2" fillId="35" borderId="0" xfId="136" applyFill="1" applyBorder="1" applyAlignment="1" applyProtection="1">
      <alignment vertical="center"/>
      <protection hidden="1"/>
    </xf>
    <xf numFmtId="0" fontId="60" fillId="35" borderId="0" xfId="136" applyFont="1" applyFill="1" applyAlignment="1" applyProtection="1">
      <alignment horizontal="center" vertical="center"/>
      <protection locked="0"/>
    </xf>
    <xf numFmtId="0" fontId="14" fillId="35" borderId="0" xfId="136" applyFont="1" applyFill="1" applyAlignment="1" applyProtection="1">
      <alignment horizontal="center" vertical="center"/>
      <protection locked="0"/>
    </xf>
    <xf numFmtId="0" fontId="134" fillId="41" borderId="49" xfId="0" applyFont="1" applyFill="1" applyBorder="1" applyAlignment="1" applyProtection="1">
      <alignment horizontal="centerContinuous" vertical="center"/>
      <protection hidden="1"/>
    </xf>
    <xf numFmtId="0" fontId="102" fillId="41" borderId="50" xfId="0" applyFont="1" applyFill="1" applyBorder="1" applyAlignment="1" applyProtection="1">
      <alignment horizontal="centerContinuous" vertical="center"/>
      <protection hidden="1"/>
    </xf>
    <xf numFmtId="0" fontId="170" fillId="41" borderId="53" xfId="0" applyFont="1" applyFill="1" applyBorder="1" applyAlignment="1" applyProtection="1">
      <alignment horizontal="centerContinuous" vertical="center" wrapText="1"/>
      <protection hidden="1"/>
    </xf>
    <xf numFmtId="0" fontId="171" fillId="42" borderId="53" xfId="0" applyFont="1" applyFill="1" applyBorder="1" applyAlignment="1" applyProtection="1">
      <alignment horizontal="centerContinuous" vertical="top" shrinkToFit="1"/>
      <protection hidden="1"/>
    </xf>
    <xf numFmtId="0" fontId="172" fillId="42" borderId="53" xfId="0" applyFont="1" applyFill="1" applyBorder="1" applyAlignment="1" applyProtection="1">
      <alignment horizontal="centerContinuous" vertical="center" wrapText="1"/>
      <protection hidden="1"/>
    </xf>
    <xf numFmtId="0" fontId="173" fillId="42" borderId="49" xfId="0" applyFont="1" applyFill="1" applyBorder="1" applyAlignment="1" applyProtection="1">
      <alignment horizontal="centerContinuous" vertical="center"/>
      <protection hidden="1"/>
    </xf>
    <xf numFmtId="0" fontId="172" fillId="42" borderId="50" xfId="0" applyFont="1" applyFill="1" applyBorder="1" applyAlignment="1" applyProtection="1">
      <alignment horizontal="centerContinuous" vertical="center"/>
      <protection hidden="1"/>
    </xf>
    <xf numFmtId="0" fontId="2" fillId="0" borderId="26" xfId="135" applyFont="1" applyFill="1" applyBorder="1" applyAlignment="1" applyProtection="1">
      <alignment horizontal="center" vertical="center"/>
      <protection hidden="1"/>
    </xf>
    <xf numFmtId="0" fontId="2" fillId="35" borderId="17" xfId="135" applyFont="1" applyFill="1" applyBorder="1" applyAlignment="1" applyProtection="1">
      <alignment vertical="center" wrapText="1"/>
      <protection hidden="1"/>
    </xf>
    <xf numFmtId="0" fontId="2" fillId="35" borderId="17" xfId="135" applyFont="1" applyFill="1" applyBorder="1" applyAlignment="1" applyProtection="1">
      <alignment vertical="center"/>
      <protection hidden="1"/>
    </xf>
    <xf numFmtId="0" fontId="139" fillId="35" borderId="17" xfId="135" applyFont="1" applyFill="1" applyBorder="1" applyAlignment="1" applyProtection="1">
      <alignment vertical="center"/>
      <protection hidden="1"/>
    </xf>
    <xf numFmtId="0" fontId="2" fillId="35" borderId="18" xfId="135" applyFill="1" applyBorder="1" applyAlignment="1" applyProtection="1">
      <alignment vertical="center"/>
      <protection hidden="1"/>
    </xf>
    <xf numFmtId="18" fontId="2" fillId="35" borderId="28" xfId="135" applyNumberFormat="1" applyFont="1" applyFill="1" applyBorder="1" applyAlignment="1" applyProtection="1">
      <alignment horizontal="center" vertical="center"/>
      <protection hidden="1"/>
    </xf>
    <xf numFmtId="0" fontId="2" fillId="35" borderId="30" xfId="135" applyFont="1" applyFill="1" applyBorder="1" applyAlignment="1" applyProtection="1">
      <alignment vertical="center"/>
      <protection hidden="1"/>
    </xf>
    <xf numFmtId="0" fontId="2" fillId="35" borderId="31" xfId="135" applyFont="1" applyFill="1" applyBorder="1" applyAlignment="1" applyProtection="1">
      <alignment vertical="center" wrapText="1"/>
      <protection hidden="1"/>
    </xf>
    <xf numFmtId="0" fontId="2" fillId="35" borderId="31" xfId="135" applyFont="1" applyFill="1" applyBorder="1" applyAlignment="1" applyProtection="1">
      <alignment vertical="center"/>
      <protection hidden="1"/>
    </xf>
    <xf numFmtId="0" fontId="2" fillId="35" borderId="31" xfId="135" quotePrefix="1" applyFont="1" applyFill="1" applyBorder="1" applyAlignment="1" applyProtection="1">
      <alignment vertical="center"/>
      <protection hidden="1"/>
    </xf>
    <xf numFmtId="0" fontId="145" fillId="35" borderId="31" xfId="135" applyFont="1" applyFill="1" applyBorder="1" applyAlignment="1" applyProtection="1">
      <alignment vertical="center"/>
      <protection hidden="1"/>
    </xf>
    <xf numFmtId="0" fontId="2" fillId="35" borderId="32" xfId="135" applyFill="1" applyBorder="1" applyAlignment="1" applyProtection="1">
      <alignment vertical="center"/>
      <protection hidden="1"/>
    </xf>
    <xf numFmtId="0" fontId="6" fillId="35" borderId="17" xfId="135" applyFont="1" applyFill="1" applyBorder="1" applyAlignment="1" applyProtection="1">
      <alignment vertical="center"/>
      <protection hidden="1"/>
    </xf>
    <xf numFmtId="0" fontId="26" fillId="0" borderId="0" xfId="135" applyFont="1" applyAlignment="1" applyProtection="1">
      <alignment vertical="center"/>
      <protection hidden="1"/>
    </xf>
    <xf numFmtId="0" fontId="2" fillId="35" borderId="28" xfId="135" applyFont="1" applyFill="1" applyBorder="1" applyAlignment="1" applyProtection="1">
      <alignment horizontal="center" vertical="center"/>
      <protection hidden="1"/>
    </xf>
    <xf numFmtId="0" fontId="26" fillId="35" borderId="15" xfId="136" applyFont="1" applyFill="1" applyBorder="1" applyAlignment="1" applyProtection="1">
      <alignment vertical="center"/>
      <protection hidden="1"/>
    </xf>
    <xf numFmtId="0" fontId="2" fillId="35" borderId="16" xfId="136" applyFill="1" applyBorder="1" applyAlignment="1" applyProtection="1">
      <alignment vertical="center"/>
      <protection hidden="1"/>
    </xf>
    <xf numFmtId="0" fontId="26" fillId="35" borderId="15" xfId="133" applyFont="1" applyFill="1" applyBorder="1" applyAlignment="1" applyProtection="1">
      <alignment vertical="center"/>
      <protection hidden="1"/>
    </xf>
    <xf numFmtId="0" fontId="176" fillId="35" borderId="15" xfId="133" applyFont="1" applyFill="1" applyBorder="1" applyAlignment="1" applyProtection="1">
      <alignment vertical="center"/>
      <protection hidden="1"/>
    </xf>
    <xf numFmtId="0" fontId="26" fillId="35" borderId="25" xfId="133" applyFont="1" applyFill="1" applyBorder="1" applyAlignment="1" applyProtection="1">
      <alignment vertical="center"/>
      <protection hidden="1"/>
    </xf>
    <xf numFmtId="0" fontId="2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vertical="top" shrinkToFit="1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0" fontId="3" fillId="0" borderId="0" xfId="0" applyFont="1" applyFill="1" applyBorder="1" applyAlignment="1" applyProtection="1">
      <alignment vertical="top"/>
      <protection hidden="1"/>
    </xf>
    <xf numFmtId="0" fontId="38" fillId="0" borderId="0" xfId="138" applyFont="1" applyFill="1" applyBorder="1" applyAlignment="1" applyProtection="1">
      <alignment vertical="top"/>
      <protection hidden="1"/>
    </xf>
    <xf numFmtId="0" fontId="3" fillId="35" borderId="12" xfId="138" applyFont="1" applyFill="1" applyBorder="1" applyAlignment="1" applyProtection="1">
      <alignment vertical="top"/>
      <protection hidden="1"/>
    </xf>
    <xf numFmtId="0" fontId="26" fillId="35" borderId="0" xfId="136" applyFont="1" applyFill="1" applyAlignment="1" applyProtection="1">
      <alignment vertical="top"/>
      <protection hidden="1"/>
    </xf>
    <xf numFmtId="0" fontId="26" fillId="35" borderId="27" xfId="136" applyFont="1" applyFill="1" applyBorder="1" applyAlignment="1" applyProtection="1">
      <alignment horizontal="left" vertical="top"/>
      <protection hidden="1"/>
    </xf>
    <xf numFmtId="0" fontId="26" fillId="35" borderId="0" xfId="136" applyFont="1" applyFill="1" applyAlignment="1" applyProtection="1">
      <alignment vertical="center"/>
      <protection hidden="1"/>
    </xf>
    <xf numFmtId="0" fontId="3" fillId="35" borderId="1" xfId="0" applyFont="1" applyFill="1" applyBorder="1" applyAlignment="1" applyProtection="1">
      <alignment vertical="top"/>
    </xf>
    <xf numFmtId="0" fontId="128" fillId="41" borderId="50" xfId="114" applyFont="1" applyFill="1" applyBorder="1" applyAlignment="1" applyProtection="1">
      <alignment horizontal="left" vertical="center" wrapText="1" indent="1"/>
      <protection hidden="1"/>
    </xf>
    <xf numFmtId="0" fontId="115" fillId="35" borderId="12" xfId="136" applyFont="1" applyFill="1" applyBorder="1" applyAlignment="1" applyProtection="1">
      <alignment horizontal="center" vertical="center"/>
      <protection hidden="1"/>
    </xf>
    <xf numFmtId="9" fontId="177" fillId="35" borderId="12" xfId="136" applyNumberFormat="1" applyFont="1" applyFill="1" applyBorder="1" applyAlignment="1" applyProtection="1">
      <alignment horizontal="center" vertical="center"/>
      <protection hidden="1"/>
    </xf>
    <xf numFmtId="0" fontId="2" fillId="35" borderId="26" xfId="136" applyFont="1" applyFill="1" applyBorder="1" applyAlignment="1" applyProtection="1">
      <alignment horizontal="center" vertical="center"/>
      <protection hidden="1"/>
    </xf>
    <xf numFmtId="0" fontId="117" fillId="35" borderId="25" xfId="136" applyFont="1" applyFill="1" applyBorder="1" applyAlignment="1" applyProtection="1">
      <alignment horizontal="left" vertical="center"/>
      <protection hidden="1"/>
    </xf>
    <xf numFmtId="0" fontId="117" fillId="35" borderId="15" xfId="136" applyFont="1" applyFill="1" applyBorder="1" applyAlignment="1" applyProtection="1">
      <alignment vertical="center"/>
      <protection hidden="1"/>
    </xf>
    <xf numFmtId="0" fontId="117" fillId="35" borderId="25" xfId="136" applyFont="1" applyFill="1" applyBorder="1" applyAlignment="1" applyProtection="1">
      <alignment vertical="center"/>
      <protection hidden="1"/>
    </xf>
    <xf numFmtId="0" fontId="117" fillId="35" borderId="32" xfId="136" applyFont="1" applyFill="1" applyBorder="1" applyAlignment="1" applyProtection="1">
      <alignment vertical="center"/>
      <protection hidden="1"/>
    </xf>
    <xf numFmtId="0" fontId="43" fillId="35" borderId="0" xfId="0" applyFont="1" applyFill="1" applyBorder="1" applyAlignment="1" applyProtection="1">
      <alignment vertical="top"/>
      <protection hidden="1"/>
    </xf>
    <xf numFmtId="0" fontId="28" fillId="35" borderId="0" xfId="0" applyFont="1" applyFill="1" applyBorder="1" applyAlignment="1" applyProtection="1">
      <alignment vertical="top"/>
      <protection hidden="1"/>
    </xf>
    <xf numFmtId="0" fontId="34" fillId="35" borderId="0" xfId="0" applyFont="1" applyFill="1" applyBorder="1" applyAlignment="1" applyProtection="1">
      <alignment horizontal="center" vertical="center"/>
      <protection hidden="1"/>
    </xf>
    <xf numFmtId="0" fontId="103" fillId="35" borderId="0" xfId="0" applyFont="1" applyFill="1" applyBorder="1" applyAlignment="1" applyProtection="1">
      <alignment vertical="center"/>
      <protection hidden="1"/>
    </xf>
    <xf numFmtId="0" fontId="103" fillId="35" borderId="0" xfId="0" applyFont="1" applyFill="1" applyBorder="1" applyAlignment="1" applyProtection="1">
      <alignment horizontal="center" vertical="center"/>
      <protection hidden="1"/>
    </xf>
    <xf numFmtId="0" fontId="151" fillId="35" borderId="0" xfId="0" applyFont="1" applyFill="1" applyBorder="1" applyAlignment="1" applyProtection="1">
      <alignment horizontal="center" vertical="center"/>
      <protection hidden="1"/>
    </xf>
    <xf numFmtId="1" fontId="159" fillId="35" borderId="0" xfId="0" applyNumberFormat="1" applyFont="1" applyFill="1" applyBorder="1" applyAlignment="1" applyProtection="1">
      <alignment horizontal="left" vertical="center"/>
    </xf>
    <xf numFmtId="0" fontId="128" fillId="41" borderId="49" xfId="114" applyFont="1" applyFill="1" applyBorder="1" applyAlignment="1" applyProtection="1">
      <alignment horizontal="left" vertical="center" indent="1" shrinkToFit="1"/>
      <protection hidden="1"/>
    </xf>
    <xf numFmtId="0" fontId="0" fillId="35" borderId="15" xfId="0" applyFill="1" applyBorder="1" applyAlignment="1">
      <alignment vertical="center"/>
    </xf>
    <xf numFmtId="0" fontId="2" fillId="35" borderId="12" xfId="136" applyFont="1" applyFill="1" applyBorder="1" applyAlignment="1" applyProtection="1">
      <alignment horizontal="center" vertical="center"/>
      <protection hidden="1"/>
    </xf>
    <xf numFmtId="0" fontId="2" fillId="35" borderId="12" xfId="136" applyFill="1" applyBorder="1" applyAlignment="1" applyProtection="1">
      <alignment horizontal="center" vertical="center"/>
      <protection hidden="1"/>
    </xf>
    <xf numFmtId="0" fontId="4" fillId="35" borderId="31" xfId="136" applyFont="1" applyFill="1" applyBorder="1" applyAlignment="1" applyProtection="1">
      <alignment vertical="center"/>
      <protection hidden="1"/>
    </xf>
    <xf numFmtId="0" fontId="2" fillId="35" borderId="54" xfId="136" applyFill="1" applyBorder="1" applyAlignment="1" applyProtection="1">
      <alignment horizontal="center" vertical="center"/>
      <protection hidden="1"/>
    </xf>
    <xf numFmtId="0" fontId="2" fillId="35" borderId="55" xfId="136" applyFont="1" applyFill="1" applyBorder="1" applyAlignment="1" applyProtection="1">
      <alignment vertical="center"/>
      <protection hidden="1"/>
    </xf>
    <xf numFmtId="0" fontId="117" fillId="0" borderId="15" xfId="136" applyFont="1" applyFill="1" applyBorder="1" applyAlignment="1" applyProtection="1">
      <alignment vertical="center"/>
      <protection hidden="1"/>
    </xf>
    <xf numFmtId="0" fontId="139" fillId="35" borderId="15" xfId="136" applyFont="1" applyFill="1" applyBorder="1" applyAlignment="1" applyProtection="1">
      <alignment vertical="center"/>
      <protection hidden="1"/>
    </xf>
    <xf numFmtId="0" fontId="145" fillId="35" borderId="25" xfId="136" applyFont="1" applyFill="1" applyBorder="1" applyAlignment="1" applyProtection="1">
      <alignment vertical="center"/>
      <protection hidden="1"/>
    </xf>
    <xf numFmtId="0" fontId="3" fillId="35" borderId="29" xfId="136" applyFont="1" applyFill="1" applyBorder="1" applyAlignment="1" applyProtection="1">
      <alignment vertical="center"/>
      <protection hidden="1"/>
    </xf>
    <xf numFmtId="0" fontId="2" fillId="35" borderId="31" xfId="136" applyFont="1" applyFill="1" applyBorder="1" applyAlignment="1" applyProtection="1">
      <alignment vertical="center"/>
      <protection hidden="1"/>
    </xf>
    <xf numFmtId="0" fontId="117" fillId="35" borderId="31" xfId="136" applyFont="1" applyFill="1" applyBorder="1" applyAlignment="1" applyProtection="1">
      <alignment vertical="center"/>
      <protection hidden="1"/>
    </xf>
    <xf numFmtId="0" fontId="26" fillId="0" borderId="15" xfId="136" applyFont="1" applyFill="1" applyBorder="1" applyAlignment="1" applyProtection="1">
      <alignment vertical="center"/>
      <protection hidden="1"/>
    </xf>
    <xf numFmtId="0" fontId="26" fillId="0" borderId="25" xfId="136" applyFont="1" applyFill="1" applyBorder="1" applyAlignment="1" applyProtection="1">
      <alignment vertical="center"/>
      <protection hidden="1"/>
    </xf>
    <xf numFmtId="186" fontId="14" fillId="0" borderId="7" xfId="132" applyNumberFormat="1" applyFont="1" applyFill="1" applyBorder="1" applyAlignment="1" applyProtection="1">
      <alignment horizontal="center" vertical="center" shrinkToFit="1"/>
      <protection locked="0"/>
    </xf>
    <xf numFmtId="0" fontId="2" fillId="35" borderId="0" xfId="136" applyFont="1" applyFill="1" applyBorder="1" applyAlignment="1" applyProtection="1">
      <alignment vertical="center"/>
      <protection hidden="1"/>
    </xf>
    <xf numFmtId="0" fontId="6" fillId="35" borderId="15" xfId="136" applyFont="1" applyFill="1" applyBorder="1" applyAlignment="1" applyProtection="1">
      <alignment vertical="center"/>
      <protection hidden="1"/>
    </xf>
    <xf numFmtId="0" fontId="6" fillId="35" borderId="25" xfId="136" applyFont="1" applyFill="1" applyBorder="1" applyAlignment="1" applyProtection="1">
      <alignment vertical="center"/>
      <protection hidden="1"/>
    </xf>
    <xf numFmtId="0" fontId="6" fillId="35" borderId="55" xfId="136" applyFont="1" applyFill="1" applyBorder="1" applyAlignment="1" applyProtection="1">
      <alignment vertical="center"/>
      <protection hidden="1"/>
    </xf>
    <xf numFmtId="0" fontId="6" fillId="35" borderId="56" xfId="136" applyFont="1" applyFill="1" applyBorder="1" applyAlignment="1" applyProtection="1">
      <alignment vertical="center"/>
      <protection hidden="1"/>
    </xf>
    <xf numFmtId="0" fontId="6" fillId="0" borderId="15" xfId="136" applyFont="1" applyFill="1" applyBorder="1" applyAlignment="1" applyProtection="1">
      <alignment vertical="center"/>
      <protection hidden="1"/>
    </xf>
    <xf numFmtId="0" fontId="182" fillId="35" borderId="25" xfId="136" applyFont="1" applyFill="1" applyBorder="1" applyAlignment="1" applyProtection="1">
      <alignment vertical="center"/>
      <protection hidden="1"/>
    </xf>
    <xf numFmtId="0" fontId="3" fillId="35" borderId="15" xfId="136" applyFont="1" applyFill="1" applyBorder="1" applyAlignment="1" applyProtection="1">
      <alignment vertical="center"/>
      <protection hidden="1"/>
    </xf>
    <xf numFmtId="0" fontId="2" fillId="35" borderId="28" xfId="136" applyFont="1" applyFill="1" applyBorder="1" applyAlignment="1" applyProtection="1">
      <alignment horizontal="center" vertical="center"/>
      <protection hidden="1"/>
    </xf>
    <xf numFmtId="0" fontId="17" fillId="35" borderId="0" xfId="0" applyFont="1" applyFill="1" applyBorder="1" applyAlignment="1" applyProtection="1">
      <alignment horizontal="left" vertical="center"/>
      <protection hidden="1"/>
    </xf>
    <xf numFmtId="0" fontId="20" fillId="35" borderId="0" xfId="0" applyFont="1" applyFill="1" applyBorder="1" applyAlignment="1" applyProtection="1">
      <alignment vertical="center"/>
      <protection hidden="1"/>
    </xf>
    <xf numFmtId="14" fontId="14" fillId="0" borderId="28" xfId="132" applyNumberFormat="1" applyFont="1" applyFill="1" applyBorder="1" applyAlignment="1" applyProtection="1">
      <alignment horizontal="center" vertical="center" shrinkToFit="1"/>
      <protection locked="0"/>
    </xf>
    <xf numFmtId="14" fontId="14" fillId="0" borderId="28" xfId="132" applyNumberFormat="1" applyFont="1" applyFill="1" applyBorder="1" applyAlignment="1" applyProtection="1">
      <alignment horizontal="right" vertical="center" indent="1" shrinkToFit="1"/>
      <protection locked="0"/>
    </xf>
    <xf numFmtId="0" fontId="17" fillId="35" borderId="12" xfId="138" applyFont="1" applyFill="1" applyBorder="1" applyAlignment="1" applyProtection="1">
      <alignment vertical="top"/>
      <protection hidden="1"/>
    </xf>
    <xf numFmtId="0" fontId="2" fillId="0" borderId="33" xfId="136" applyFont="1" applyFill="1" applyBorder="1" applyAlignment="1" applyProtection="1">
      <alignment horizontal="right" vertical="center"/>
      <protection hidden="1"/>
    </xf>
    <xf numFmtId="0" fontId="2" fillId="0" borderId="0" xfId="136" applyFont="1" applyFill="1" applyBorder="1" applyAlignment="1" applyProtection="1">
      <alignment horizontal="right" vertical="center"/>
      <protection hidden="1"/>
    </xf>
    <xf numFmtId="0" fontId="2" fillId="0" borderId="19" xfId="136" applyFont="1" applyFill="1" applyBorder="1" applyAlignment="1" applyProtection="1">
      <alignment horizontal="right" vertical="center"/>
      <protection hidden="1"/>
    </xf>
    <xf numFmtId="0" fontId="2" fillId="0" borderId="15" xfId="136" applyFont="1" applyFill="1" applyBorder="1" applyAlignment="1" applyProtection="1">
      <alignment vertical="center" shrinkToFit="1"/>
      <protection hidden="1"/>
    </xf>
    <xf numFmtId="0" fontId="2" fillId="0" borderId="16" xfId="0" applyFont="1" applyFill="1" applyBorder="1" applyAlignment="1">
      <alignment vertical="center"/>
    </xf>
    <xf numFmtId="0" fontId="26" fillId="0" borderId="15" xfId="136" applyFont="1" applyFill="1" applyBorder="1" applyAlignment="1" applyProtection="1">
      <alignment vertical="center" shrinkToFit="1"/>
      <protection hidden="1"/>
    </xf>
    <xf numFmtId="0" fontId="3" fillId="0" borderId="0" xfId="133" applyFont="1" applyFill="1" applyBorder="1" applyAlignment="1" applyProtection="1">
      <alignment horizontal="left" vertical="top"/>
      <protection hidden="1"/>
    </xf>
    <xf numFmtId="0" fontId="2" fillId="35" borderId="16" xfId="136" applyFont="1" applyFill="1" applyBorder="1" applyAlignment="1" applyProtection="1">
      <alignment vertical="center"/>
      <protection hidden="1"/>
    </xf>
    <xf numFmtId="0" fontId="2" fillId="35" borderId="15" xfId="136" applyFont="1" applyFill="1" applyBorder="1" applyAlignment="1" applyProtection="1">
      <alignment vertical="center"/>
      <protection hidden="1"/>
    </xf>
    <xf numFmtId="0" fontId="2" fillId="35" borderId="16" xfId="136" applyFont="1" applyFill="1" applyBorder="1" applyAlignment="1" applyProtection="1">
      <alignment vertical="center"/>
      <protection hidden="1"/>
    </xf>
    <xf numFmtId="0" fontId="26" fillId="0" borderId="33" xfId="136" applyFont="1" applyFill="1" applyBorder="1" applyAlignment="1" applyProtection="1">
      <alignment horizontal="right" vertical="top"/>
      <protection hidden="1"/>
    </xf>
    <xf numFmtId="0" fontId="26" fillId="0" borderId="0" xfId="136" applyFont="1" applyFill="1" applyBorder="1" applyAlignment="1" applyProtection="1">
      <alignment horizontal="right" vertical="top"/>
      <protection hidden="1"/>
    </xf>
    <xf numFmtId="0" fontId="26" fillId="0" borderId="19" xfId="136" applyFont="1" applyFill="1" applyBorder="1" applyAlignment="1" applyProtection="1">
      <alignment horizontal="right" vertical="top"/>
      <protection hidden="1"/>
    </xf>
    <xf numFmtId="0" fontId="2" fillId="35" borderId="25" xfId="136" applyFont="1" applyFill="1" applyBorder="1" applyAlignment="1" applyProtection="1">
      <alignment vertical="center"/>
      <protection hidden="1"/>
    </xf>
    <xf numFmtId="0" fontId="2" fillId="35" borderId="0" xfId="136" applyFont="1" applyFill="1" applyAlignment="1" applyProtection="1">
      <alignment vertical="top"/>
      <protection hidden="1"/>
    </xf>
    <xf numFmtId="0" fontId="20" fillId="35" borderId="12" xfId="136" applyFont="1" applyFill="1" applyBorder="1" applyAlignment="1" applyProtection="1">
      <alignment vertical="center"/>
      <protection hidden="1"/>
    </xf>
    <xf numFmtId="0" fontId="183" fillId="35" borderId="0" xfId="136" applyFont="1" applyFill="1" applyAlignment="1" applyProtection="1">
      <alignment horizontal="center" vertical="top"/>
      <protection locked="0"/>
    </xf>
    <xf numFmtId="0" fontId="2" fillId="35" borderId="15" xfId="136" applyFont="1" applyFill="1" applyBorder="1" applyAlignment="1" applyProtection="1">
      <alignment vertical="center"/>
      <protection hidden="1"/>
    </xf>
    <xf numFmtId="0" fontId="2" fillId="35" borderId="15" xfId="136" applyFill="1" applyBorder="1" applyAlignment="1" applyProtection="1">
      <alignment vertical="center"/>
      <protection hidden="1"/>
    </xf>
    <xf numFmtId="0" fontId="2" fillId="35" borderId="15" xfId="136" applyFill="1" applyBorder="1" applyAlignment="1" applyProtection="1">
      <alignment vertical="top"/>
      <protection hidden="1"/>
    </xf>
    <xf numFmtId="0" fontId="2" fillId="35" borderId="25" xfId="136" applyFill="1" applyBorder="1" applyAlignment="1" applyProtection="1">
      <alignment vertical="top"/>
      <protection hidden="1"/>
    </xf>
    <xf numFmtId="0" fontId="2" fillId="35" borderId="16" xfId="136" applyFont="1" applyFill="1" applyBorder="1" applyAlignment="1" applyProtection="1">
      <alignment vertical="top"/>
      <protection hidden="1"/>
    </xf>
    <xf numFmtId="0" fontId="14" fillId="35" borderId="0" xfId="0" applyFont="1" applyFill="1" applyBorder="1" applyAlignment="1" applyProtection="1">
      <alignment vertical="top"/>
      <protection hidden="1"/>
    </xf>
    <xf numFmtId="0" fontId="3" fillId="35" borderId="16" xfId="136" applyFont="1" applyFill="1" applyBorder="1" applyAlignment="1" applyProtection="1">
      <alignment vertical="center"/>
      <protection hidden="1"/>
    </xf>
    <xf numFmtId="0" fontId="2" fillId="35" borderId="0" xfId="136" applyFont="1" applyFill="1" applyAlignment="1" applyProtection="1">
      <alignment vertical="center"/>
      <protection hidden="1"/>
    </xf>
    <xf numFmtId="0" fontId="2" fillId="35" borderId="0" xfId="136" applyFont="1" applyFill="1" applyBorder="1" applyAlignment="1" applyProtection="1">
      <alignment vertical="center"/>
      <protection hidden="1"/>
    </xf>
    <xf numFmtId="0" fontId="2" fillId="35" borderId="15" xfId="136" applyFont="1" applyFill="1" applyBorder="1" applyAlignment="1" applyProtection="1">
      <alignment vertical="center"/>
      <protection hidden="1"/>
    </xf>
    <xf numFmtId="0" fontId="0" fillId="35" borderId="0" xfId="0" applyFill="1" applyBorder="1" applyAlignment="1" applyProtection="1">
      <alignment vertical="center"/>
      <protection hidden="1"/>
    </xf>
    <xf numFmtId="0" fontId="2" fillId="35" borderId="0" xfId="136" applyFont="1" applyFill="1" applyAlignment="1" applyProtection="1">
      <alignment vertical="top"/>
      <protection hidden="1"/>
    </xf>
    <xf numFmtId="0" fontId="17" fillId="35" borderId="0" xfId="0" applyFont="1" applyFill="1" applyBorder="1" applyAlignment="1" applyProtection="1">
      <alignment vertical="center"/>
      <protection hidden="1"/>
    </xf>
    <xf numFmtId="0" fontId="2" fillId="35" borderId="15" xfId="133" applyFont="1" applyFill="1" applyBorder="1" applyAlignment="1" applyProtection="1">
      <alignment horizontal="right" vertical="center"/>
      <protection hidden="1"/>
    </xf>
    <xf numFmtId="0" fontId="3" fillId="35" borderId="15" xfId="133" applyFont="1" applyFill="1" applyBorder="1" applyAlignment="1" applyProtection="1">
      <alignment vertical="center"/>
      <protection locked="0"/>
    </xf>
    <xf numFmtId="0" fontId="3" fillId="35" borderId="15" xfId="133" applyFont="1" applyFill="1" applyBorder="1" applyAlignment="1" applyProtection="1">
      <alignment horizontal="right" vertical="center"/>
      <protection hidden="1"/>
    </xf>
    <xf numFmtId="14" fontId="3" fillId="35" borderId="15" xfId="133" applyNumberFormat="1" applyFont="1" applyFill="1" applyBorder="1" applyAlignment="1" applyProtection="1">
      <alignment vertical="center" shrinkToFit="1"/>
      <protection hidden="1"/>
    </xf>
    <xf numFmtId="0" fontId="2" fillId="35" borderId="0" xfId="136" applyFont="1" applyFill="1" applyBorder="1" applyAlignment="1" applyProtection="1">
      <alignment horizontal="center" vertical="center"/>
      <protection hidden="1"/>
    </xf>
    <xf numFmtId="0" fontId="2" fillId="35" borderId="0" xfId="133" applyFont="1" applyFill="1" applyBorder="1" applyAlignment="1" applyProtection="1">
      <alignment horizontal="right" vertical="center"/>
      <protection hidden="1"/>
    </xf>
    <xf numFmtId="0" fontId="3" fillId="35" borderId="0" xfId="133" applyFont="1" applyFill="1" applyBorder="1" applyAlignment="1" applyProtection="1">
      <alignment horizontal="right" vertical="center"/>
      <protection hidden="1"/>
    </xf>
    <xf numFmtId="0" fontId="184" fillId="35" borderId="0" xfId="136" applyFont="1" applyFill="1" applyAlignment="1" applyProtection="1">
      <alignment vertical="top"/>
      <protection hidden="1"/>
    </xf>
    <xf numFmtId="0" fontId="184" fillId="0" borderId="0" xfId="136" applyFont="1" applyFill="1" applyAlignment="1" applyProtection="1">
      <alignment vertical="center"/>
      <protection hidden="1"/>
    </xf>
    <xf numFmtId="0" fontId="184" fillId="0" borderId="0" xfId="136" applyFont="1" applyAlignment="1" applyProtection="1">
      <alignment vertical="top"/>
      <protection hidden="1"/>
    </xf>
    <xf numFmtId="0" fontId="184" fillId="35" borderId="0" xfId="0" applyFont="1" applyFill="1" applyBorder="1" applyAlignment="1">
      <alignment horizontal="center"/>
    </xf>
    <xf numFmtId="0" fontId="184" fillId="35" borderId="0" xfId="0" applyFont="1" applyFill="1"/>
    <xf numFmtId="0" fontId="186" fillId="0" borderId="0" xfId="136" applyFont="1" applyFill="1" applyAlignment="1" applyProtection="1">
      <alignment vertical="top"/>
      <protection hidden="1"/>
    </xf>
    <xf numFmtId="0" fontId="187" fillId="35" borderId="0" xfId="114" applyFont="1" applyFill="1" applyAlignment="1" applyProtection="1"/>
    <xf numFmtId="0" fontId="184" fillId="0" borderId="0" xfId="136" applyFont="1" applyFill="1" applyAlignment="1" applyProtection="1">
      <alignment vertical="top"/>
      <protection hidden="1"/>
    </xf>
    <xf numFmtId="0" fontId="187" fillId="35" borderId="0" xfId="0" applyFont="1" applyFill="1" applyAlignment="1"/>
    <xf numFmtId="0" fontId="2" fillId="35" borderId="17" xfId="136" applyFont="1" applyFill="1" applyBorder="1" applyAlignment="1" applyProtection="1">
      <alignment vertical="top"/>
      <protection hidden="1"/>
    </xf>
    <xf numFmtId="0" fontId="2" fillId="35" borderId="15" xfId="136" applyFont="1" applyFill="1" applyBorder="1" applyAlignment="1" applyProtection="1">
      <alignment vertical="center"/>
      <protection hidden="1"/>
    </xf>
    <xf numFmtId="0" fontId="3" fillId="35" borderId="16" xfId="136" applyFont="1" applyFill="1" applyBorder="1" applyAlignment="1" applyProtection="1">
      <alignment vertical="center"/>
      <protection hidden="1"/>
    </xf>
    <xf numFmtId="0" fontId="2" fillId="35" borderId="0" xfId="136" applyFont="1" applyFill="1" applyAlignment="1" applyProtection="1">
      <alignment vertical="top"/>
      <protection hidden="1"/>
    </xf>
    <xf numFmtId="0" fontId="188" fillId="35" borderId="0" xfId="136" applyFont="1" applyFill="1" applyAlignment="1" applyProtection="1">
      <alignment vertical="top"/>
      <protection hidden="1"/>
    </xf>
    <xf numFmtId="0" fontId="188" fillId="35" borderId="0" xfId="136" applyFont="1" applyFill="1" applyAlignment="1" applyProtection="1">
      <alignment vertical="center"/>
      <protection hidden="1"/>
    </xf>
    <xf numFmtId="0" fontId="188" fillId="35" borderId="0" xfId="136" applyFont="1" applyFill="1" applyAlignment="1" applyProtection="1">
      <alignment horizontal="center" vertical="center"/>
      <protection hidden="1"/>
    </xf>
    <xf numFmtId="0" fontId="17" fillId="35" borderId="0" xfId="0" applyFont="1" applyFill="1" applyBorder="1" applyAlignment="1" applyProtection="1">
      <alignment vertical="center"/>
      <protection hidden="1"/>
    </xf>
    <xf numFmtId="0" fontId="13" fillId="37" borderId="0" xfId="114" applyFont="1" applyFill="1" applyBorder="1" applyAlignment="1" applyProtection="1">
      <alignment horizontal="center" vertical="center" shrinkToFit="1"/>
    </xf>
    <xf numFmtId="0" fontId="33" fillId="41" borderId="59" xfId="114" applyFont="1" applyFill="1" applyBorder="1" applyAlignment="1" applyProtection="1">
      <alignment horizontal="center" vertical="center" wrapText="1"/>
      <protection hidden="1"/>
    </xf>
    <xf numFmtId="0" fontId="33" fillId="41" borderId="60" xfId="114" applyFont="1" applyFill="1" applyBorder="1" applyAlignment="1" applyProtection="1">
      <alignment horizontal="center" vertical="center" wrapText="1"/>
      <protection hidden="1"/>
    </xf>
    <xf numFmtId="0" fontId="128" fillId="41" borderId="40" xfId="114" applyFont="1" applyFill="1" applyBorder="1" applyAlignment="1" applyProtection="1">
      <alignment horizontal="left" vertical="center" wrapText="1" indent="1"/>
      <protection hidden="1"/>
    </xf>
    <xf numFmtId="0" fontId="128" fillId="41" borderId="53" xfId="114" applyFont="1" applyFill="1" applyBorder="1" applyAlignment="1" applyProtection="1">
      <alignment horizontal="left" vertical="center" wrapText="1" indent="1"/>
      <protection hidden="1"/>
    </xf>
    <xf numFmtId="0" fontId="179" fillId="41" borderId="53" xfId="114" applyFont="1" applyFill="1" applyBorder="1" applyAlignment="1" applyProtection="1">
      <alignment horizontal="left" vertical="center" wrapText="1" indent="1"/>
      <protection hidden="1"/>
    </xf>
    <xf numFmtId="0" fontId="179" fillId="41" borderId="49" xfId="114" applyFont="1" applyFill="1" applyBorder="1" applyAlignment="1" applyProtection="1">
      <alignment horizontal="left" vertical="center" wrapText="1" indent="1"/>
      <protection hidden="1"/>
    </xf>
    <xf numFmtId="0" fontId="179" fillId="41" borderId="50" xfId="114" applyFont="1" applyFill="1" applyBorder="1" applyAlignment="1" applyProtection="1">
      <alignment horizontal="left" vertical="center" wrapText="1" indent="1"/>
      <protection hidden="1"/>
    </xf>
    <xf numFmtId="0" fontId="179" fillId="35" borderId="0" xfId="114" applyFont="1" applyFill="1" applyBorder="1" applyAlignment="1" applyProtection="1">
      <alignment horizontal="left" vertical="center" wrapText="1" indent="1"/>
      <protection hidden="1"/>
    </xf>
    <xf numFmtId="0" fontId="179" fillId="35" borderId="39" xfId="114" applyFont="1" applyFill="1" applyBorder="1" applyAlignment="1" applyProtection="1">
      <alignment horizontal="left" vertical="center" wrapText="1" indent="1"/>
      <protection hidden="1"/>
    </xf>
    <xf numFmtId="0" fontId="128" fillId="41" borderId="53" xfId="114" applyFont="1" applyFill="1" applyBorder="1" applyAlignment="1" applyProtection="1">
      <alignment horizontal="center" vertical="center" wrapText="1"/>
      <protection hidden="1"/>
    </xf>
    <xf numFmtId="0" fontId="0" fillId="0" borderId="49" xfId="0" applyBorder="1"/>
    <xf numFmtId="0" fontId="14" fillId="35" borderId="40" xfId="0" applyFont="1" applyFill="1" applyBorder="1" applyAlignment="1" applyProtection="1">
      <alignment horizontal="center" vertical="center"/>
      <protection hidden="1"/>
    </xf>
    <xf numFmtId="0" fontId="180" fillId="41" borderId="53" xfId="114" applyFont="1" applyFill="1" applyBorder="1" applyAlignment="1" applyProtection="1">
      <alignment horizontal="left" vertical="center" wrapText="1" indent="1"/>
      <protection hidden="1"/>
    </xf>
    <xf numFmtId="0" fontId="180" fillId="41" borderId="49" xfId="114" applyFont="1" applyFill="1" applyBorder="1" applyAlignment="1" applyProtection="1">
      <alignment horizontal="left" vertical="center" wrapText="1" indent="1"/>
      <protection hidden="1"/>
    </xf>
    <xf numFmtId="0" fontId="180" fillId="41" borderId="50" xfId="114" applyFont="1" applyFill="1" applyBorder="1" applyAlignment="1" applyProtection="1">
      <alignment horizontal="left" vertical="center" wrapText="1" indent="1"/>
      <protection hidden="1"/>
    </xf>
    <xf numFmtId="0" fontId="16" fillId="35" borderId="40" xfId="0" applyFont="1" applyFill="1" applyBorder="1" applyAlignment="1" applyProtection="1">
      <alignment vertical="center" wrapText="1"/>
      <protection hidden="1"/>
    </xf>
    <xf numFmtId="0" fontId="10" fillId="35" borderId="40" xfId="0" applyFont="1" applyFill="1" applyBorder="1" applyAlignment="1" applyProtection="1">
      <alignment horizontal="left" vertical="center" wrapText="1"/>
      <protection hidden="1"/>
    </xf>
    <xf numFmtId="0" fontId="175" fillId="35" borderId="40" xfId="0" applyFont="1" applyFill="1" applyBorder="1" applyAlignment="1" applyProtection="1">
      <alignment horizontal="center" vertical="center" wrapText="1"/>
      <protection hidden="1"/>
    </xf>
    <xf numFmtId="0" fontId="107" fillId="35" borderId="40" xfId="0" applyFont="1" applyFill="1" applyBorder="1" applyAlignment="1" applyProtection="1">
      <alignment horizontal="center" vertical="center" wrapText="1"/>
      <protection hidden="1"/>
    </xf>
    <xf numFmtId="0" fontId="13" fillId="41" borderId="40" xfId="0" applyFont="1" applyFill="1" applyBorder="1" applyAlignment="1" applyProtection="1">
      <alignment vertical="center" wrapText="1"/>
      <protection hidden="1"/>
    </xf>
    <xf numFmtId="0" fontId="174" fillId="41" borderId="40" xfId="0" applyFont="1" applyFill="1" applyBorder="1" applyAlignment="1" applyProtection="1">
      <alignment vertical="center"/>
      <protection hidden="1"/>
    </xf>
    <xf numFmtId="1" fontId="21" fillId="37" borderId="0" xfId="138" applyNumberFormat="1" applyFont="1" applyFill="1" applyBorder="1" applyAlignment="1" applyProtection="1">
      <alignment horizontal="left" vertical="center"/>
      <protection hidden="1"/>
    </xf>
    <xf numFmtId="0" fontId="28" fillId="36" borderId="0" xfId="138" applyFont="1" applyFill="1" applyBorder="1" applyAlignment="1" applyProtection="1">
      <alignment vertical="center"/>
      <protection locked="0"/>
    </xf>
    <xf numFmtId="0" fontId="10" fillId="35" borderId="58" xfId="138" applyFont="1" applyFill="1" applyBorder="1" applyAlignment="1" applyProtection="1">
      <alignment horizontal="center" vertical="center" wrapText="1"/>
      <protection hidden="1"/>
    </xf>
    <xf numFmtId="0" fontId="10" fillId="35" borderId="57" xfId="138" applyFont="1" applyFill="1" applyBorder="1" applyAlignment="1" applyProtection="1">
      <alignment horizontal="center" vertical="center" wrapText="1"/>
      <protection hidden="1"/>
    </xf>
    <xf numFmtId="0" fontId="10" fillId="35" borderId="52" xfId="138" applyFont="1" applyFill="1" applyBorder="1" applyAlignment="1" applyProtection="1">
      <alignment horizontal="center" vertical="center" wrapText="1"/>
      <protection hidden="1"/>
    </xf>
    <xf numFmtId="0" fontId="22" fillId="37" borderId="0" xfId="114" applyFont="1" applyFill="1" applyAlignment="1" applyProtection="1">
      <alignment horizontal="center" vertical="center"/>
      <protection hidden="1"/>
    </xf>
    <xf numFmtId="14" fontId="47" fillId="37" borderId="0" xfId="138" applyNumberFormat="1" applyFont="1" applyFill="1" applyBorder="1" applyAlignment="1" applyProtection="1">
      <alignment horizontal="left" vertical="center"/>
      <protection hidden="1"/>
    </xf>
    <xf numFmtId="0" fontId="47" fillId="37" borderId="0" xfId="138" applyFont="1" applyFill="1" applyBorder="1" applyAlignment="1" applyProtection="1">
      <alignment horizontal="left" vertical="center"/>
      <protection hidden="1"/>
    </xf>
    <xf numFmtId="0" fontId="0" fillId="35" borderId="0" xfId="0" applyFill="1" applyBorder="1" applyAlignment="1" applyProtection="1">
      <alignment horizontal="left" vertical="center"/>
    </xf>
    <xf numFmtId="0" fontId="146" fillId="35" borderId="0" xfId="114" applyFont="1" applyFill="1" applyAlignment="1" applyProtection="1">
      <alignment horizontal="center" vertical="center" wrapText="1"/>
    </xf>
    <xf numFmtId="0" fontId="185" fillId="37" borderId="0" xfId="114" applyFont="1" applyFill="1" applyAlignment="1" applyProtection="1">
      <alignment horizontal="center" vertical="center"/>
      <protection hidden="1"/>
    </xf>
    <xf numFmtId="0" fontId="11" fillId="35" borderId="16" xfId="133" applyNumberFormat="1" applyFont="1" applyFill="1" applyBorder="1" applyAlignment="1" applyProtection="1">
      <alignment horizontal="right" vertical="center" shrinkToFit="1"/>
    </xf>
    <xf numFmtId="0" fontId="11" fillId="35" borderId="25" xfId="133" applyNumberFormat="1" applyFont="1" applyFill="1" applyBorder="1" applyAlignment="1" applyProtection="1">
      <alignment horizontal="right" vertical="center" shrinkToFit="1"/>
    </xf>
    <xf numFmtId="0" fontId="19" fillId="35" borderId="12" xfId="133" applyFont="1" applyFill="1" applyBorder="1" applyAlignment="1" applyProtection="1">
      <alignment horizontal="center" vertical="center" textRotation="180" wrapText="1"/>
      <protection hidden="1"/>
    </xf>
    <xf numFmtId="0" fontId="36" fillId="35" borderId="16" xfId="133" applyNumberFormat="1" applyFont="1" applyFill="1" applyBorder="1" applyAlignment="1" applyProtection="1">
      <alignment horizontal="right" vertical="center" shrinkToFit="1"/>
    </xf>
    <xf numFmtId="0" fontId="36" fillId="35" borderId="25" xfId="133" applyNumberFormat="1" applyFont="1" applyFill="1" applyBorder="1" applyAlignment="1" applyProtection="1">
      <alignment horizontal="right" vertical="center" shrinkToFit="1"/>
    </xf>
    <xf numFmtId="0" fontId="127" fillId="35" borderId="12" xfId="133" applyFont="1" applyFill="1" applyBorder="1" applyAlignment="1" applyProtection="1">
      <alignment horizontal="center" vertical="center" textRotation="180" wrapText="1"/>
      <protection hidden="1"/>
    </xf>
    <xf numFmtId="170" fontId="34" fillId="35" borderId="16" xfId="133" applyNumberFormat="1" applyFill="1" applyBorder="1" applyAlignment="1" applyProtection="1">
      <alignment horizontal="left" vertical="center" shrinkToFit="1"/>
      <protection hidden="1"/>
    </xf>
    <xf numFmtId="170" fontId="34" fillId="35" borderId="25" xfId="133" applyNumberFormat="1" applyFill="1" applyBorder="1" applyAlignment="1" applyProtection="1">
      <alignment horizontal="left" vertical="center" shrinkToFit="1"/>
      <protection hidden="1"/>
    </xf>
    <xf numFmtId="0" fontId="3" fillId="36" borderId="61" xfId="0" applyFont="1" applyFill="1" applyBorder="1" applyAlignment="1" applyProtection="1">
      <alignment horizontal="center" vertical="center" wrapText="1"/>
      <protection hidden="1"/>
    </xf>
    <xf numFmtId="0" fontId="36" fillId="35" borderId="12" xfId="133" applyFont="1" applyFill="1" applyBorder="1" applyAlignment="1" applyProtection="1">
      <alignment vertical="center"/>
      <protection hidden="1"/>
    </xf>
    <xf numFmtId="0" fontId="3" fillId="37" borderId="0" xfId="114" applyFont="1" applyFill="1" applyBorder="1" applyAlignment="1" applyProtection="1">
      <alignment horizontal="center" vertical="center"/>
      <protection hidden="1"/>
    </xf>
    <xf numFmtId="0" fontId="112" fillId="36" borderId="0" xfId="114" applyFont="1" applyFill="1" applyBorder="1" applyAlignment="1" applyProtection="1">
      <alignment horizontal="center" vertical="center" wrapText="1"/>
      <protection hidden="1"/>
    </xf>
    <xf numFmtId="0" fontId="5" fillId="36" borderId="0" xfId="114" applyFill="1" applyBorder="1" applyAlignment="1" applyProtection="1">
      <alignment horizontal="center" vertical="center" wrapText="1"/>
      <protection hidden="1"/>
    </xf>
    <xf numFmtId="0" fontId="34" fillId="35" borderId="16" xfId="133" applyFill="1" applyBorder="1" applyAlignment="1" applyProtection="1">
      <alignment vertical="center"/>
      <protection hidden="1"/>
    </xf>
    <xf numFmtId="0" fontId="34" fillId="35" borderId="15" xfId="133" applyFill="1" applyBorder="1" applyAlignment="1" applyProtection="1">
      <alignment vertical="center"/>
      <protection hidden="1"/>
    </xf>
    <xf numFmtId="0" fontId="34" fillId="35" borderId="25" xfId="133" applyFill="1" applyBorder="1" applyAlignment="1" applyProtection="1">
      <alignment vertical="center"/>
      <protection hidden="1"/>
    </xf>
    <xf numFmtId="169" fontId="36" fillId="35" borderId="0" xfId="133" applyNumberFormat="1" applyFont="1" applyFill="1" applyAlignment="1" applyProtection="1">
      <alignment horizontal="right" vertical="center"/>
      <protection hidden="1"/>
    </xf>
    <xf numFmtId="169" fontId="36" fillId="35" borderId="0" xfId="133" applyNumberFormat="1" applyFont="1" applyFill="1" applyAlignment="1" applyProtection="1">
      <alignment horizontal="left" vertical="center"/>
      <protection hidden="1"/>
    </xf>
    <xf numFmtId="0" fontId="19" fillId="35" borderId="29" xfId="133" applyFont="1" applyFill="1" applyBorder="1" applyAlignment="1" applyProtection="1">
      <alignment horizontal="center" vertical="center" wrapText="1"/>
      <protection hidden="1"/>
    </xf>
    <xf numFmtId="0" fontId="19" fillId="35" borderId="18" xfId="133" applyFont="1" applyFill="1" applyBorder="1" applyAlignment="1" applyProtection="1">
      <alignment horizontal="center" vertical="center" wrapText="1"/>
      <protection hidden="1"/>
    </xf>
    <xf numFmtId="0" fontId="19" fillId="35" borderId="30" xfId="133" applyFont="1" applyFill="1" applyBorder="1" applyAlignment="1" applyProtection="1">
      <alignment horizontal="center" vertical="center" wrapText="1"/>
      <protection hidden="1"/>
    </xf>
    <xf numFmtId="0" fontId="19" fillId="35" borderId="32" xfId="133" applyFont="1" applyFill="1" applyBorder="1" applyAlignment="1" applyProtection="1">
      <alignment horizontal="center" vertical="center" wrapText="1"/>
      <protection hidden="1"/>
    </xf>
    <xf numFmtId="0" fontId="19" fillId="35" borderId="12" xfId="133" applyFont="1" applyFill="1" applyBorder="1" applyAlignment="1" applyProtection="1">
      <alignment horizontal="center" vertical="center" wrapText="1"/>
      <protection hidden="1"/>
    </xf>
    <xf numFmtId="0" fontId="34" fillId="35" borderId="16" xfId="133" applyNumberFormat="1" applyFont="1" applyFill="1" applyBorder="1" applyAlignment="1" applyProtection="1">
      <alignment horizontal="right" vertical="center" shrinkToFit="1"/>
    </xf>
    <xf numFmtId="0" fontId="34" fillId="35" borderId="25" xfId="133" applyNumberFormat="1" applyFont="1" applyFill="1" applyBorder="1" applyAlignment="1" applyProtection="1">
      <alignment horizontal="right" vertical="center" shrinkToFit="1"/>
    </xf>
    <xf numFmtId="0" fontId="103" fillId="35" borderId="16" xfId="133" applyNumberFormat="1" applyFont="1" applyFill="1" applyBorder="1" applyAlignment="1" applyProtection="1">
      <alignment horizontal="right" vertical="center" shrinkToFit="1"/>
    </xf>
    <xf numFmtId="0" fontId="103" fillId="35" borderId="25" xfId="133" applyNumberFormat="1" applyFont="1" applyFill="1" applyBorder="1" applyAlignment="1" applyProtection="1">
      <alignment horizontal="right" vertical="center" shrinkToFit="1"/>
    </xf>
    <xf numFmtId="0" fontId="2" fillId="35" borderId="16" xfId="133" applyNumberFormat="1" applyFont="1" applyFill="1" applyBorder="1" applyAlignment="1" applyProtection="1">
      <alignment horizontal="right" vertical="center" shrinkToFit="1"/>
    </xf>
    <xf numFmtId="0" fontId="2" fillId="35" borderId="25" xfId="133" applyNumberFormat="1" applyFont="1" applyFill="1" applyBorder="1" applyAlignment="1" applyProtection="1">
      <alignment horizontal="right" vertical="center" shrinkToFit="1"/>
    </xf>
    <xf numFmtId="0" fontId="14" fillId="35" borderId="16" xfId="133" applyNumberFormat="1" applyFont="1" applyFill="1" applyBorder="1" applyAlignment="1" applyProtection="1">
      <alignment horizontal="right" vertical="center" shrinkToFit="1"/>
      <protection locked="0"/>
    </xf>
    <xf numFmtId="0" fontId="14" fillId="35" borderId="25" xfId="133" applyNumberFormat="1" applyFont="1" applyFill="1" applyBorder="1" applyAlignment="1" applyProtection="1">
      <alignment horizontal="right" vertical="center" shrinkToFit="1"/>
      <protection locked="0"/>
    </xf>
    <xf numFmtId="0" fontId="19" fillId="35" borderId="16" xfId="133" applyFont="1" applyFill="1" applyBorder="1" applyAlignment="1" applyProtection="1">
      <alignment horizontal="left" vertical="center" wrapText="1"/>
    </xf>
    <xf numFmtId="0" fontId="19" fillId="35" borderId="15" xfId="133" applyFont="1" applyFill="1" applyBorder="1" applyAlignment="1" applyProtection="1">
      <alignment horizontal="left" vertical="center" wrapText="1"/>
    </xf>
    <xf numFmtId="0" fontId="34" fillId="35" borderId="16" xfId="133" applyFill="1" applyBorder="1" applyAlignment="1" applyProtection="1">
      <alignment horizontal="left" vertical="center" wrapText="1"/>
      <protection hidden="1"/>
    </xf>
    <xf numFmtId="0" fontId="34" fillId="35" borderId="15" xfId="133" applyFill="1" applyBorder="1" applyAlignment="1" applyProtection="1">
      <alignment horizontal="left" vertical="center" wrapText="1"/>
      <protection hidden="1"/>
    </xf>
    <xf numFmtId="0" fontId="3" fillId="0" borderId="16" xfId="133" applyNumberFormat="1" applyFont="1" applyFill="1" applyBorder="1" applyAlignment="1" applyProtection="1">
      <alignment horizontal="right" vertical="center" shrinkToFit="1"/>
    </xf>
    <xf numFmtId="0" fontId="3" fillId="0" borderId="25" xfId="133" applyNumberFormat="1" applyFont="1" applyFill="1" applyBorder="1" applyAlignment="1" applyProtection="1">
      <alignment horizontal="right" vertical="center" shrinkToFit="1"/>
    </xf>
    <xf numFmtId="0" fontId="14" fillId="35" borderId="33" xfId="133" applyNumberFormat="1" applyFont="1" applyFill="1" applyBorder="1" applyAlignment="1" applyProtection="1">
      <alignment horizontal="right" vertical="center" shrinkToFit="1"/>
    </xf>
    <xf numFmtId="0" fontId="14" fillId="35" borderId="19" xfId="133" applyNumberFormat="1" applyFont="1" applyFill="1" applyBorder="1" applyAlignment="1" applyProtection="1">
      <alignment horizontal="right" vertical="center" shrinkToFit="1"/>
    </xf>
    <xf numFmtId="0" fontId="43" fillId="35" borderId="16" xfId="133" applyFont="1" applyFill="1" applyBorder="1" applyAlignment="1" applyProtection="1">
      <alignment vertical="top"/>
      <protection locked="0"/>
    </xf>
    <xf numFmtId="0" fontId="43" fillId="35" borderId="15" xfId="133" applyFont="1" applyFill="1" applyBorder="1" applyAlignment="1" applyProtection="1">
      <alignment vertical="top"/>
      <protection locked="0"/>
    </xf>
    <xf numFmtId="0" fontId="43" fillId="35" borderId="25" xfId="133" applyFont="1" applyFill="1" applyBorder="1" applyAlignment="1" applyProtection="1">
      <alignment vertical="top"/>
      <protection locked="0"/>
    </xf>
    <xf numFmtId="14" fontId="100" fillId="35" borderId="15" xfId="133" applyNumberFormat="1" applyFont="1" applyFill="1" applyBorder="1" applyAlignment="1" applyProtection="1">
      <alignment horizontal="left" vertical="top" shrinkToFit="1"/>
      <protection locked="0"/>
    </xf>
    <xf numFmtId="0" fontId="100" fillId="35" borderId="25" xfId="133" applyFont="1" applyFill="1" applyBorder="1" applyAlignment="1" applyProtection="1">
      <alignment horizontal="left" vertical="top" shrinkToFit="1"/>
      <protection locked="0"/>
    </xf>
    <xf numFmtId="0" fontId="3" fillId="35" borderId="15" xfId="133" applyFont="1" applyFill="1" applyBorder="1" applyAlignment="1" applyProtection="1">
      <alignment horizontal="left" vertical="top"/>
      <protection locked="0"/>
    </xf>
    <xf numFmtId="0" fontId="34" fillId="35" borderId="16" xfId="133" applyFont="1" applyFill="1" applyBorder="1" applyAlignment="1" applyProtection="1">
      <alignment horizontal="left" vertical="center" wrapText="1"/>
      <protection hidden="1"/>
    </xf>
    <xf numFmtId="0" fontId="34" fillId="35" borderId="15" xfId="133" applyFont="1" applyFill="1" applyBorder="1" applyAlignment="1" applyProtection="1">
      <alignment horizontal="left" vertical="center" wrapText="1"/>
      <protection hidden="1"/>
    </xf>
    <xf numFmtId="14" fontId="14" fillId="35" borderId="15" xfId="133" applyNumberFormat="1" applyFont="1" applyFill="1" applyBorder="1" applyAlignment="1" applyProtection="1">
      <alignment horizontal="left" vertical="center" shrinkToFit="1"/>
      <protection locked="0"/>
    </xf>
    <xf numFmtId="0" fontId="14" fillId="35" borderId="25" xfId="133" applyFont="1" applyFill="1" applyBorder="1" applyAlignment="1" applyProtection="1">
      <alignment horizontal="left" vertical="center" shrinkToFit="1"/>
      <protection locked="0"/>
    </xf>
    <xf numFmtId="0" fontId="14" fillId="35" borderId="15" xfId="133" applyFont="1" applyFill="1" applyBorder="1" applyAlignment="1" applyProtection="1">
      <alignment horizontal="left" vertical="center"/>
      <protection locked="0"/>
    </xf>
    <xf numFmtId="0" fontId="150" fillId="35" borderId="15" xfId="133" applyFont="1" applyFill="1" applyBorder="1" applyAlignment="1" applyProtection="1">
      <alignment horizontal="left" vertical="top"/>
      <protection locked="0"/>
    </xf>
    <xf numFmtId="3" fontId="150" fillId="35" borderId="15" xfId="133" quotePrefix="1" applyNumberFormat="1" applyFont="1" applyFill="1" applyBorder="1" applyAlignment="1" applyProtection="1">
      <alignment horizontal="left" vertical="center" shrinkToFit="1"/>
      <protection locked="0"/>
    </xf>
    <xf numFmtId="0" fontId="150" fillId="35" borderId="15" xfId="133" applyFont="1" applyFill="1" applyBorder="1" applyAlignment="1" applyProtection="1">
      <alignment horizontal="left" vertical="center" shrinkToFit="1"/>
      <protection locked="0"/>
    </xf>
    <xf numFmtId="14" fontId="3" fillId="35" borderId="15" xfId="133" applyNumberFormat="1" applyFont="1" applyFill="1" applyBorder="1" applyAlignment="1" applyProtection="1">
      <alignment horizontal="left" vertical="top" shrinkToFit="1"/>
      <protection locked="0"/>
    </xf>
    <xf numFmtId="0" fontId="3" fillId="35" borderId="25" xfId="133" applyFont="1" applyFill="1" applyBorder="1" applyAlignment="1" applyProtection="1">
      <alignment horizontal="left" vertical="top" shrinkToFit="1"/>
      <protection locked="0"/>
    </xf>
    <xf numFmtId="14" fontId="14" fillId="35" borderId="25" xfId="133" applyNumberFormat="1" applyFont="1" applyFill="1" applyBorder="1" applyAlignment="1" applyProtection="1">
      <alignment horizontal="left" vertical="center" shrinkToFit="1"/>
      <protection locked="0"/>
    </xf>
    <xf numFmtId="0" fontId="31" fillId="35" borderId="16" xfId="133" applyFont="1" applyFill="1" applyBorder="1" applyAlignment="1" applyProtection="1">
      <alignment vertical="center"/>
      <protection locked="0"/>
    </xf>
    <xf numFmtId="0" fontId="31" fillId="35" borderId="15" xfId="133" applyFont="1" applyFill="1" applyBorder="1" applyAlignment="1" applyProtection="1">
      <alignment vertical="center"/>
      <protection locked="0"/>
    </xf>
    <xf numFmtId="0" fontId="31" fillId="35" borderId="25" xfId="133" applyFont="1" applyFill="1" applyBorder="1" applyAlignment="1" applyProtection="1">
      <alignment vertical="center"/>
      <protection locked="0"/>
    </xf>
    <xf numFmtId="0" fontId="31" fillId="35" borderId="16" xfId="133" applyFont="1" applyFill="1" applyBorder="1" applyAlignment="1" applyProtection="1">
      <alignment vertical="center" shrinkToFit="1"/>
      <protection locked="0"/>
    </xf>
    <xf numFmtId="0" fontId="31" fillId="35" borderId="15" xfId="133" applyFont="1" applyFill="1" applyBorder="1" applyAlignment="1" applyProtection="1">
      <alignment vertical="center" shrinkToFit="1"/>
      <protection locked="0"/>
    </xf>
    <xf numFmtId="0" fontId="31" fillId="35" borderId="25" xfId="133" applyFont="1" applyFill="1" applyBorder="1" applyAlignment="1" applyProtection="1">
      <alignment vertical="center" shrinkToFit="1"/>
      <protection locked="0"/>
    </xf>
    <xf numFmtId="0" fontId="7" fillId="35" borderId="12" xfId="138" applyFont="1" applyFill="1" applyBorder="1" applyAlignment="1" applyProtection="1">
      <alignment vertical="top"/>
      <protection hidden="1"/>
    </xf>
    <xf numFmtId="0" fontId="137" fillId="35" borderId="33" xfId="138" applyFont="1" applyFill="1" applyBorder="1" applyAlignment="1" applyProtection="1">
      <alignment vertical="top"/>
    </xf>
    <xf numFmtId="0" fontId="137" fillId="35" borderId="0" xfId="138" applyFont="1" applyFill="1" applyBorder="1" applyAlignment="1" applyProtection="1">
      <alignment vertical="top"/>
    </xf>
    <xf numFmtId="0" fontId="2" fillId="35" borderId="15" xfId="136" applyFont="1" applyFill="1" applyBorder="1" applyAlignment="1" applyProtection="1">
      <alignment horizontal="center" vertical="center" shrinkToFit="1"/>
      <protection hidden="1"/>
    </xf>
    <xf numFmtId="0" fontId="6" fillId="35" borderId="15" xfId="133" applyFont="1" applyFill="1" applyBorder="1" applyAlignment="1" applyProtection="1">
      <alignment vertical="center"/>
      <protection hidden="1"/>
    </xf>
    <xf numFmtId="0" fontId="28" fillId="35" borderId="16" xfId="133" applyFont="1" applyFill="1" applyBorder="1" applyAlignment="1" applyProtection="1">
      <alignment vertical="center" shrinkToFit="1"/>
      <protection locked="0"/>
    </xf>
    <xf numFmtId="0" fontId="28" fillId="35" borderId="15" xfId="133" applyFont="1" applyFill="1" applyBorder="1" applyAlignment="1" applyProtection="1">
      <alignment vertical="center" shrinkToFit="1"/>
      <protection locked="0"/>
    </xf>
    <xf numFmtId="0" fontId="28" fillId="35" borderId="25" xfId="133" applyFont="1" applyFill="1" applyBorder="1" applyAlignment="1" applyProtection="1">
      <alignment vertical="center" shrinkToFit="1"/>
      <protection locked="0"/>
    </xf>
    <xf numFmtId="0" fontId="7" fillId="35" borderId="12" xfId="138" applyFont="1" applyFill="1" applyBorder="1" applyAlignment="1" applyProtection="1">
      <alignment horizontal="center" vertical="top"/>
      <protection hidden="1"/>
    </xf>
    <xf numFmtId="0" fontId="7" fillId="35" borderId="12" xfId="138" applyFont="1" applyFill="1" applyBorder="1" applyAlignment="1" applyProtection="1">
      <alignment vertical="top" wrapText="1"/>
      <protection hidden="1"/>
    </xf>
    <xf numFmtId="0" fontId="14" fillId="35" borderId="16" xfId="133" applyFont="1" applyFill="1" applyBorder="1" applyAlignment="1" applyProtection="1">
      <alignment vertical="center"/>
      <protection locked="0"/>
    </xf>
    <xf numFmtId="0" fontId="14" fillId="35" borderId="15" xfId="133" applyFont="1" applyFill="1" applyBorder="1" applyAlignment="1" applyProtection="1">
      <alignment vertical="center"/>
      <protection locked="0"/>
    </xf>
    <xf numFmtId="0" fontId="14" fillId="35" borderId="25" xfId="133" applyFont="1" applyFill="1" applyBorder="1" applyAlignment="1" applyProtection="1">
      <alignment vertical="center"/>
      <protection locked="0"/>
    </xf>
    <xf numFmtId="0" fontId="7" fillId="35" borderId="16" xfId="138" applyFont="1" applyFill="1" applyBorder="1" applyAlignment="1" applyProtection="1">
      <alignment vertical="top"/>
      <protection hidden="1"/>
    </xf>
    <xf numFmtId="0" fontId="7" fillId="35" borderId="15" xfId="138" applyFont="1" applyFill="1" applyBorder="1" applyAlignment="1" applyProtection="1">
      <alignment vertical="top"/>
      <protection hidden="1"/>
    </xf>
    <xf numFmtId="0" fontId="7" fillId="35" borderId="25" xfId="138" applyFont="1" applyFill="1" applyBorder="1" applyAlignment="1" applyProtection="1">
      <alignment vertical="top"/>
      <protection hidden="1"/>
    </xf>
    <xf numFmtId="0" fontId="17" fillId="35" borderId="12" xfId="138" applyFont="1" applyFill="1" applyBorder="1" applyAlignment="1" applyProtection="1">
      <alignment vertical="top"/>
      <protection hidden="1"/>
    </xf>
    <xf numFmtId="0" fontId="135" fillId="35" borderId="33" xfId="133" applyFont="1" applyFill="1" applyBorder="1" applyAlignment="1" applyProtection="1">
      <alignment vertical="center"/>
      <protection hidden="1"/>
    </xf>
    <xf numFmtId="0" fontId="135" fillId="35" borderId="0" xfId="133" applyFont="1" applyFill="1" applyAlignment="1" applyProtection="1">
      <alignment vertical="center"/>
      <protection hidden="1"/>
    </xf>
    <xf numFmtId="0" fontId="0" fillId="35" borderId="15" xfId="0" applyFill="1" applyBorder="1" applyAlignment="1">
      <alignment vertical="center" shrinkToFit="1"/>
    </xf>
    <xf numFmtId="0" fontId="0" fillId="35" borderId="25" xfId="0" applyFill="1" applyBorder="1" applyAlignment="1">
      <alignment vertical="center" shrinkToFit="1"/>
    </xf>
    <xf numFmtId="0" fontId="4" fillId="35" borderId="16" xfId="133" applyFont="1" applyFill="1" applyBorder="1" applyAlignment="1" applyProtection="1">
      <alignment horizontal="center" vertical="center" wrapText="1"/>
      <protection hidden="1"/>
    </xf>
    <xf numFmtId="0" fontId="4" fillId="35" borderId="15" xfId="133" applyFont="1" applyFill="1" applyBorder="1" applyAlignment="1" applyProtection="1">
      <alignment horizontal="center" vertical="center" wrapText="1"/>
      <protection hidden="1"/>
    </xf>
    <xf numFmtId="0" fontId="2" fillId="35" borderId="16" xfId="133" applyFont="1" applyFill="1" applyBorder="1" applyAlignment="1" applyProtection="1">
      <alignment horizontal="center" vertical="top" wrapText="1"/>
      <protection hidden="1"/>
    </xf>
    <xf numFmtId="0" fontId="0" fillId="0" borderId="15" xfId="0" applyBorder="1" applyAlignment="1">
      <alignment horizontal="center" vertical="top" wrapText="1"/>
    </xf>
    <xf numFmtId="0" fontId="0" fillId="0" borderId="25" xfId="0" applyBorder="1" applyAlignment="1">
      <alignment horizontal="center" vertical="top" wrapText="1"/>
    </xf>
    <xf numFmtId="0" fontId="34" fillId="35" borderId="12" xfId="133" applyFill="1" applyBorder="1" applyAlignment="1" applyProtection="1">
      <alignment horizontal="center" vertical="top" wrapText="1"/>
      <protection hidden="1"/>
    </xf>
    <xf numFmtId="0" fontId="34" fillId="35" borderId="31" xfId="133" applyFont="1" applyFill="1" applyBorder="1" applyAlignment="1" applyProtection="1">
      <alignment vertical="top" wrapText="1"/>
      <protection hidden="1"/>
    </xf>
    <xf numFmtId="0" fontId="0" fillId="0" borderId="31" xfId="0" applyBorder="1" applyAlignment="1">
      <alignment vertical="top"/>
    </xf>
    <xf numFmtId="0" fontId="3" fillId="35" borderId="16" xfId="133" applyFont="1" applyFill="1" applyBorder="1" applyAlignment="1" applyProtection="1">
      <alignment horizontal="left" vertical="center" shrinkToFit="1"/>
      <protection locked="0"/>
    </xf>
    <xf numFmtId="0" fontId="3" fillId="0" borderId="15" xfId="0" applyFont="1" applyBorder="1" applyAlignment="1">
      <alignment horizontal="left" vertical="center" shrinkToFit="1"/>
    </xf>
    <xf numFmtId="0" fontId="3" fillId="0" borderId="25" xfId="0" applyFont="1" applyBorder="1" applyAlignment="1">
      <alignment horizontal="left" vertical="center" shrinkToFit="1"/>
    </xf>
    <xf numFmtId="0" fontId="34" fillId="35" borderId="12" xfId="133" applyFill="1" applyBorder="1" applyAlignment="1" applyProtection="1">
      <alignment vertical="center"/>
      <protection locked="0"/>
    </xf>
    <xf numFmtId="0" fontId="34" fillId="35" borderId="12" xfId="133" applyFill="1" applyBorder="1" applyAlignment="1" applyProtection="1">
      <alignment vertical="center" shrinkToFit="1"/>
      <protection locked="0"/>
    </xf>
    <xf numFmtId="0" fontId="137" fillId="35" borderId="33" xfId="138" applyFont="1" applyFill="1" applyBorder="1" applyAlignment="1" applyProtection="1">
      <alignment horizontal="center" vertical="top"/>
    </xf>
    <xf numFmtId="0" fontId="137" fillId="35" borderId="0" xfId="138" applyFont="1" applyFill="1" applyBorder="1" applyAlignment="1" applyProtection="1">
      <alignment horizontal="center" vertical="top"/>
    </xf>
    <xf numFmtId="0" fontId="34" fillId="35" borderId="12" xfId="133" applyFill="1" applyBorder="1" applyAlignment="1" applyProtection="1">
      <alignment vertical="center" wrapText="1"/>
      <protection locked="0"/>
    </xf>
    <xf numFmtId="0" fontId="31" fillId="35" borderId="16" xfId="133" applyFont="1" applyFill="1" applyBorder="1" applyAlignment="1" applyProtection="1">
      <alignment vertical="top"/>
      <protection locked="0"/>
    </xf>
    <xf numFmtId="0" fontId="31" fillId="35" borderId="15" xfId="133" applyFont="1" applyFill="1" applyBorder="1" applyAlignment="1" applyProtection="1">
      <alignment vertical="top"/>
      <protection locked="0"/>
    </xf>
    <xf numFmtId="0" fontId="31" fillId="35" borderId="25" xfId="133" applyFont="1" applyFill="1" applyBorder="1" applyAlignment="1" applyProtection="1">
      <alignment vertical="top"/>
      <protection locked="0"/>
    </xf>
    <xf numFmtId="0" fontId="2" fillId="35" borderId="12" xfId="133" applyFont="1" applyFill="1" applyBorder="1" applyAlignment="1" applyProtection="1">
      <alignment horizontal="center" vertical="top"/>
      <protection hidden="1"/>
    </xf>
    <xf numFmtId="0" fontId="7" fillId="35" borderId="29" xfId="138" applyFont="1" applyFill="1" applyBorder="1" applyAlignment="1" applyProtection="1">
      <alignment horizontal="left" vertical="top" wrapText="1"/>
      <protection hidden="1"/>
    </xf>
    <xf numFmtId="0" fontId="7" fillId="35" borderId="17" xfId="138" applyFont="1" applyFill="1" applyBorder="1" applyAlignment="1" applyProtection="1">
      <alignment horizontal="left" vertical="top" wrapText="1"/>
      <protection hidden="1"/>
    </xf>
    <xf numFmtId="0" fontId="7" fillId="35" borderId="33" xfId="138" applyFont="1" applyFill="1" applyBorder="1" applyAlignment="1" applyProtection="1">
      <alignment horizontal="left" vertical="top" wrapText="1"/>
      <protection hidden="1"/>
    </xf>
    <xf numFmtId="0" fontId="7" fillId="35" borderId="0" xfId="138" applyFont="1" applyFill="1" applyBorder="1" applyAlignment="1" applyProtection="1">
      <alignment horizontal="left" vertical="top" wrapText="1"/>
      <protection hidden="1"/>
    </xf>
    <xf numFmtId="0" fontId="7" fillId="35" borderId="30" xfId="138" applyFont="1" applyFill="1" applyBorder="1" applyAlignment="1" applyProtection="1">
      <alignment horizontal="left" vertical="top" wrapText="1"/>
      <protection hidden="1"/>
    </xf>
    <xf numFmtId="0" fontId="7" fillId="35" borderId="31" xfId="138" applyFont="1" applyFill="1" applyBorder="1" applyAlignment="1" applyProtection="1">
      <alignment horizontal="left" vertical="top" wrapText="1"/>
      <protection hidden="1"/>
    </xf>
    <xf numFmtId="0" fontId="4" fillId="35" borderId="16" xfId="133" applyFont="1" applyFill="1" applyBorder="1" applyAlignment="1" applyProtection="1">
      <alignment vertical="top"/>
      <protection hidden="1"/>
    </xf>
    <xf numFmtId="0" fontId="4" fillId="35" borderId="15" xfId="133" applyFont="1" applyFill="1" applyBorder="1" applyAlignment="1" applyProtection="1">
      <alignment vertical="top"/>
      <protection hidden="1"/>
    </xf>
    <xf numFmtId="0" fontId="31" fillId="35" borderId="16" xfId="133" applyNumberFormat="1" applyFont="1" applyFill="1" applyBorder="1" applyAlignment="1" applyProtection="1">
      <alignment vertical="top"/>
      <protection locked="0"/>
    </xf>
    <xf numFmtId="0" fontId="31" fillId="35" borderId="15" xfId="133" applyNumberFormat="1" applyFont="1" applyFill="1" applyBorder="1" applyAlignment="1" applyProtection="1">
      <alignment vertical="top"/>
      <protection locked="0"/>
    </xf>
    <xf numFmtId="0" fontId="31" fillId="35" borderId="25" xfId="133" applyNumberFormat="1" applyFont="1" applyFill="1" applyBorder="1" applyAlignment="1" applyProtection="1">
      <alignment vertical="top"/>
      <protection locked="0"/>
    </xf>
    <xf numFmtId="0" fontId="7" fillId="35" borderId="16" xfId="138" applyFont="1" applyFill="1" applyBorder="1" applyAlignment="1" applyProtection="1">
      <alignment horizontal="right" vertical="top"/>
      <protection hidden="1"/>
    </xf>
    <xf numFmtId="0" fontId="7" fillId="35" borderId="15" xfId="138" applyFont="1" applyFill="1" applyBorder="1" applyAlignment="1" applyProtection="1">
      <alignment horizontal="right" vertical="top"/>
      <protection hidden="1"/>
    </xf>
    <xf numFmtId="0" fontId="7" fillId="35" borderId="25" xfId="138" applyFont="1" applyFill="1" applyBorder="1" applyAlignment="1" applyProtection="1">
      <alignment horizontal="right" vertical="top"/>
      <protection hidden="1"/>
    </xf>
    <xf numFmtId="0" fontId="4" fillId="35" borderId="16" xfId="133" applyFont="1" applyFill="1" applyBorder="1" applyAlignment="1" applyProtection="1">
      <alignment vertical="top" wrapText="1"/>
      <protection hidden="1"/>
    </xf>
    <xf numFmtId="0" fontId="4" fillId="35" borderId="15" xfId="133" applyFont="1" applyFill="1" applyBorder="1" applyAlignment="1" applyProtection="1">
      <alignment vertical="top" wrapText="1"/>
      <protection hidden="1"/>
    </xf>
    <xf numFmtId="0" fontId="3" fillId="35" borderId="45" xfId="133" applyFont="1" applyFill="1" applyBorder="1" applyAlignment="1" applyProtection="1">
      <alignment vertical="center" shrinkToFit="1"/>
      <protection hidden="1"/>
    </xf>
    <xf numFmtId="0" fontId="3" fillId="35" borderId="0" xfId="133" applyFont="1" applyFill="1" applyAlignment="1" applyProtection="1">
      <alignment vertical="center" shrinkToFit="1"/>
      <protection hidden="1"/>
    </xf>
    <xf numFmtId="0" fontId="34" fillId="35" borderId="12" xfId="133" applyFill="1" applyBorder="1" applyAlignment="1" applyProtection="1">
      <alignment horizontal="left" vertical="center"/>
      <protection locked="0"/>
    </xf>
    <xf numFmtId="0" fontId="34" fillId="35" borderId="17" xfId="133" applyFont="1" applyFill="1" applyBorder="1" applyAlignment="1" applyProtection="1">
      <alignment vertical="top" wrapText="1"/>
      <protection hidden="1"/>
    </xf>
    <xf numFmtId="0" fontId="0" fillId="0" borderId="17" xfId="0" applyBorder="1" applyAlignment="1">
      <alignment vertical="top"/>
    </xf>
    <xf numFmtId="0" fontId="31" fillId="35" borderId="34" xfId="133" applyFont="1" applyFill="1" applyBorder="1" applyAlignment="1" applyProtection="1">
      <alignment horizontal="center" vertical="top"/>
      <protection locked="0"/>
    </xf>
    <xf numFmtId="0" fontId="31" fillId="35" borderId="36" xfId="133" applyFont="1" applyFill="1" applyBorder="1" applyAlignment="1" applyProtection="1">
      <alignment horizontal="center" vertical="top"/>
      <protection locked="0"/>
    </xf>
    <xf numFmtId="14" fontId="18" fillId="35" borderId="34" xfId="138" applyNumberFormat="1" applyFont="1" applyFill="1" applyBorder="1" applyAlignment="1" applyProtection="1">
      <alignment horizontal="center" vertical="center"/>
      <protection locked="0"/>
    </xf>
    <xf numFmtId="14" fontId="18" fillId="35" borderId="36" xfId="138" applyNumberFormat="1" applyFont="1" applyFill="1" applyBorder="1" applyAlignment="1" applyProtection="1">
      <alignment horizontal="center" vertical="center"/>
      <protection locked="0"/>
    </xf>
    <xf numFmtId="0" fontId="2" fillId="35" borderId="16" xfId="133" applyFont="1" applyFill="1" applyBorder="1" applyAlignment="1" applyProtection="1">
      <alignment horizontal="left" vertical="center" shrinkToFit="1"/>
      <protection locked="0"/>
    </xf>
    <xf numFmtId="0" fontId="0" fillId="0" borderId="15" xfId="0" applyBorder="1" applyAlignment="1">
      <alignment horizontal="left" vertical="center" shrinkToFit="1"/>
    </xf>
    <xf numFmtId="0" fontId="0" fillId="0" borderId="25" xfId="0" applyBorder="1" applyAlignment="1">
      <alignment horizontal="left" vertical="center" shrinkToFit="1"/>
    </xf>
    <xf numFmtId="0" fontId="2" fillId="35" borderId="44" xfId="133" applyFont="1" applyFill="1" applyBorder="1" applyAlignment="1" applyProtection="1">
      <alignment vertical="top" wrapText="1"/>
      <protection hidden="1"/>
    </xf>
    <xf numFmtId="0" fontId="2" fillId="35" borderId="1" xfId="133" applyFont="1" applyFill="1" applyBorder="1" applyAlignment="1" applyProtection="1">
      <alignment vertical="top" wrapText="1"/>
      <protection hidden="1"/>
    </xf>
    <xf numFmtId="0" fontId="2" fillId="35" borderId="13" xfId="133" applyFont="1" applyFill="1" applyBorder="1" applyAlignment="1" applyProtection="1">
      <alignment vertical="top" wrapText="1"/>
      <protection hidden="1"/>
    </xf>
    <xf numFmtId="0" fontId="2" fillId="35" borderId="45" xfId="133" applyFont="1" applyFill="1" applyBorder="1" applyAlignment="1" applyProtection="1">
      <alignment vertical="top" wrapText="1"/>
      <protection hidden="1"/>
    </xf>
    <xf numFmtId="0" fontId="2" fillId="35" borderId="0" xfId="133" applyFont="1" applyFill="1" applyBorder="1" applyAlignment="1" applyProtection="1">
      <alignment vertical="top" wrapText="1"/>
      <protection hidden="1"/>
    </xf>
    <xf numFmtId="0" fontId="2" fillId="35" borderId="14" xfId="133" applyFont="1" applyFill="1" applyBorder="1" applyAlignment="1" applyProtection="1">
      <alignment vertical="top" wrapText="1"/>
      <protection hidden="1"/>
    </xf>
    <xf numFmtId="0" fontId="2" fillId="35" borderId="37" xfId="133" applyFont="1" applyFill="1" applyBorder="1" applyAlignment="1" applyProtection="1">
      <alignment vertical="top" wrapText="1"/>
      <protection hidden="1"/>
    </xf>
    <xf numFmtId="0" fontId="2" fillId="35" borderId="21" xfId="133" applyFont="1" applyFill="1" applyBorder="1" applyAlignment="1" applyProtection="1">
      <alignment vertical="top" wrapText="1"/>
      <protection hidden="1"/>
    </xf>
    <xf numFmtId="0" fontId="2" fillId="35" borderId="20" xfId="133" applyFont="1" applyFill="1" applyBorder="1" applyAlignment="1" applyProtection="1">
      <alignment vertical="top" wrapText="1"/>
      <protection hidden="1"/>
    </xf>
    <xf numFmtId="0" fontId="2" fillId="35" borderId="16" xfId="133" applyFont="1" applyFill="1" applyBorder="1" applyAlignment="1" applyProtection="1">
      <alignment vertical="top"/>
      <protection hidden="1"/>
    </xf>
    <xf numFmtId="0" fontId="2" fillId="35" borderId="15" xfId="133" applyFont="1" applyFill="1" applyBorder="1" applyAlignment="1" applyProtection="1">
      <alignment vertical="top"/>
      <protection hidden="1"/>
    </xf>
    <xf numFmtId="0" fontId="31" fillId="35" borderId="16" xfId="138" applyFont="1" applyFill="1" applyBorder="1" applyAlignment="1" applyProtection="1">
      <alignment vertical="top"/>
      <protection locked="0"/>
    </xf>
    <xf numFmtId="0" fontId="31" fillId="35" borderId="15" xfId="138" applyFont="1" applyFill="1" applyBorder="1" applyAlignment="1" applyProtection="1">
      <alignment vertical="top"/>
      <protection locked="0"/>
    </xf>
    <xf numFmtId="0" fontId="31" fillId="35" borderId="25" xfId="138" applyFont="1" applyFill="1" applyBorder="1" applyAlignment="1" applyProtection="1">
      <alignment vertical="top"/>
      <protection locked="0"/>
    </xf>
    <xf numFmtId="0" fontId="23" fillId="35" borderId="16" xfId="0" applyFont="1" applyFill="1" applyBorder="1" applyAlignment="1" applyProtection="1">
      <alignment horizontal="left" vertical="top" wrapText="1"/>
      <protection hidden="1"/>
    </xf>
    <xf numFmtId="0" fontId="23" fillId="35" borderId="15" xfId="0" applyFont="1" applyFill="1" applyBorder="1" applyAlignment="1" applyProtection="1">
      <alignment horizontal="left" vertical="top" wrapText="1"/>
      <protection hidden="1"/>
    </xf>
    <xf numFmtId="0" fontId="4" fillId="35" borderId="29" xfId="133" applyFont="1" applyFill="1" applyBorder="1" applyAlignment="1" applyProtection="1">
      <alignment vertical="top" wrapText="1"/>
      <protection hidden="1"/>
    </xf>
    <xf numFmtId="0" fontId="4" fillId="35" borderId="17" xfId="133" applyFont="1" applyFill="1" applyBorder="1" applyAlignment="1" applyProtection="1">
      <alignment vertical="top" wrapText="1"/>
      <protection hidden="1"/>
    </xf>
    <xf numFmtId="0" fontId="4" fillId="35" borderId="16" xfId="133" applyFont="1" applyFill="1" applyBorder="1" applyAlignment="1" applyProtection="1">
      <alignment vertical="center" wrapText="1"/>
      <protection hidden="1"/>
    </xf>
    <xf numFmtId="0" fontId="4" fillId="35" borderId="15" xfId="133" applyFont="1" applyFill="1" applyBorder="1" applyAlignment="1" applyProtection="1">
      <alignment vertical="center" wrapText="1"/>
      <protection hidden="1"/>
    </xf>
    <xf numFmtId="0" fontId="31" fillId="35" borderId="29" xfId="133" applyFont="1" applyFill="1" applyBorder="1" applyAlignment="1" applyProtection="1">
      <alignment horizontal="right" vertical="top"/>
      <protection locked="0"/>
    </xf>
    <xf numFmtId="0" fontId="31" fillId="35" borderId="17" xfId="133" applyFont="1" applyFill="1" applyBorder="1" applyAlignment="1" applyProtection="1">
      <alignment horizontal="right" vertical="top"/>
      <protection locked="0"/>
    </xf>
    <xf numFmtId="0" fontId="31" fillId="35" borderId="18" xfId="133" applyFont="1" applyFill="1" applyBorder="1" applyAlignment="1" applyProtection="1">
      <alignment horizontal="right" vertical="top"/>
      <protection locked="0"/>
    </xf>
    <xf numFmtId="0" fontId="31" fillId="35" borderId="30" xfId="133" applyFont="1" applyFill="1" applyBorder="1" applyAlignment="1" applyProtection="1">
      <alignment horizontal="right" vertical="top"/>
      <protection locked="0"/>
    </xf>
    <xf numFmtId="0" fontId="31" fillId="35" borderId="31" xfId="133" applyFont="1" applyFill="1" applyBorder="1" applyAlignment="1" applyProtection="1">
      <alignment horizontal="right" vertical="top"/>
      <protection locked="0"/>
    </xf>
    <xf numFmtId="0" fontId="31" fillId="35" borderId="32" xfId="133" applyFont="1" applyFill="1" applyBorder="1" applyAlignment="1" applyProtection="1">
      <alignment horizontal="right" vertical="top"/>
      <protection locked="0"/>
    </xf>
    <xf numFmtId="1" fontId="53" fillId="35" borderId="0" xfId="0" applyNumberFormat="1" applyFont="1" applyFill="1" applyBorder="1" applyAlignment="1" applyProtection="1">
      <alignment horizontal="center" vertical="top"/>
      <protection locked="0"/>
    </xf>
    <xf numFmtId="1" fontId="53" fillId="35" borderId="0" xfId="0" applyNumberFormat="1" applyFont="1" applyFill="1" applyBorder="1" applyAlignment="1" applyProtection="1">
      <alignment horizontal="center"/>
      <protection locked="0"/>
    </xf>
    <xf numFmtId="0" fontId="53" fillId="35" borderId="0" xfId="0" applyNumberFormat="1" applyFont="1" applyFill="1" applyBorder="1" applyAlignment="1" applyProtection="1">
      <alignment horizontal="center" vertical="top"/>
      <protection locked="0"/>
    </xf>
    <xf numFmtId="14" fontId="53" fillId="35" borderId="0" xfId="0" applyNumberFormat="1" applyFont="1" applyFill="1" applyBorder="1" applyAlignment="1" applyProtection="1">
      <alignment horizontal="center" vertical="top"/>
      <protection locked="0"/>
    </xf>
    <xf numFmtId="0" fontId="53" fillId="35" borderId="0" xfId="0" applyNumberFormat="1" applyFont="1" applyFill="1" applyBorder="1" applyAlignment="1" applyProtection="1">
      <alignment horizontal="center"/>
      <protection hidden="1"/>
    </xf>
    <xf numFmtId="0" fontId="53" fillId="35" borderId="0" xfId="0" applyFont="1" applyFill="1" applyBorder="1" applyAlignment="1" applyProtection="1">
      <alignment horizontal="center" vertical="top" wrapText="1"/>
      <protection hidden="1"/>
    </xf>
    <xf numFmtId="0" fontId="34" fillId="35" borderId="0" xfId="133" applyFill="1" applyAlignment="1" applyProtection="1">
      <alignment vertical="top"/>
      <protection hidden="1"/>
    </xf>
    <xf numFmtId="14" fontId="34" fillId="35" borderId="0" xfId="133" applyNumberFormat="1" applyFill="1" applyAlignment="1" applyProtection="1">
      <alignment horizontal="left" vertical="top"/>
      <protection hidden="1"/>
    </xf>
    <xf numFmtId="0" fontId="31" fillId="35" borderId="12" xfId="133" applyNumberFormat="1" applyFont="1" applyFill="1" applyBorder="1" applyAlignment="1" applyProtection="1">
      <alignment vertical="top"/>
      <protection locked="0"/>
    </xf>
    <xf numFmtId="0" fontId="34" fillId="35" borderId="0" xfId="133" applyFill="1" applyBorder="1" applyAlignment="1" applyProtection="1">
      <alignment vertical="top"/>
      <protection hidden="1"/>
    </xf>
    <xf numFmtId="0" fontId="31" fillId="0" borderId="12" xfId="133" applyNumberFormat="1" applyFont="1" applyFill="1" applyBorder="1" applyAlignment="1" applyProtection="1">
      <alignment vertical="top"/>
      <protection locked="0"/>
    </xf>
    <xf numFmtId="0" fontId="34" fillId="35" borderId="0" xfId="133" applyFont="1" applyFill="1" applyAlignment="1" applyProtection="1">
      <alignment vertical="top"/>
      <protection hidden="1"/>
    </xf>
    <xf numFmtId="0" fontId="132" fillId="35" borderId="15" xfId="133" applyFont="1" applyFill="1" applyBorder="1" applyAlignment="1" applyProtection="1">
      <alignment vertical="center"/>
      <protection hidden="1"/>
    </xf>
    <xf numFmtId="0" fontId="132" fillId="35" borderId="25" xfId="133" applyFont="1" applyFill="1" applyBorder="1" applyAlignment="1" applyProtection="1">
      <alignment vertical="center"/>
      <protection hidden="1"/>
    </xf>
    <xf numFmtId="0" fontId="14" fillId="35" borderId="16" xfId="133" applyFont="1" applyFill="1" applyBorder="1" applyAlignment="1" applyProtection="1">
      <alignment vertical="top"/>
      <protection locked="0"/>
    </xf>
    <xf numFmtId="0" fontId="14" fillId="35" borderId="15" xfId="133" applyFont="1" applyFill="1" applyBorder="1" applyAlignment="1" applyProtection="1">
      <alignment vertical="top"/>
      <protection locked="0"/>
    </xf>
    <xf numFmtId="0" fontId="14" fillId="35" borderId="25" xfId="133" applyFont="1" applyFill="1" applyBorder="1" applyAlignment="1" applyProtection="1">
      <alignment vertical="top"/>
      <protection locked="0"/>
    </xf>
    <xf numFmtId="0" fontId="43" fillId="35" borderId="29" xfId="138" applyFont="1" applyFill="1" applyBorder="1" applyAlignment="1" applyProtection="1">
      <alignment vertical="top"/>
      <protection hidden="1"/>
    </xf>
    <xf numFmtId="0" fontId="43" fillId="35" borderId="17" xfId="138" applyFont="1" applyFill="1" applyBorder="1" applyAlignment="1" applyProtection="1">
      <alignment vertical="top"/>
      <protection hidden="1"/>
    </xf>
    <xf numFmtId="0" fontId="43" fillId="35" borderId="18" xfId="138" applyFont="1" applyFill="1" applyBorder="1" applyAlignment="1" applyProtection="1">
      <alignment vertical="top"/>
      <protection hidden="1"/>
    </xf>
    <xf numFmtId="0" fontId="43" fillId="35" borderId="16" xfId="133" applyFont="1" applyFill="1" applyBorder="1" applyAlignment="1" applyProtection="1">
      <alignment vertical="top"/>
      <protection hidden="1"/>
    </xf>
    <xf numFmtId="0" fontId="43" fillId="35" borderId="15" xfId="133" applyFont="1" applyFill="1" applyBorder="1" applyAlignment="1" applyProtection="1">
      <alignment vertical="top"/>
      <protection hidden="1"/>
    </xf>
    <xf numFmtId="0" fontId="43" fillId="35" borderId="25" xfId="133" applyFont="1" applyFill="1" applyBorder="1" applyAlignment="1" applyProtection="1">
      <alignment vertical="top"/>
      <protection hidden="1"/>
    </xf>
    <xf numFmtId="14" fontId="20" fillId="35" borderId="0" xfId="0" applyNumberFormat="1" applyFont="1" applyFill="1" applyBorder="1" applyAlignment="1" applyProtection="1">
      <alignment horizontal="center" vertical="top"/>
      <protection locked="0"/>
    </xf>
    <xf numFmtId="0" fontId="20" fillId="35" borderId="0" xfId="0" applyNumberFormat="1" applyFont="1" applyFill="1" applyBorder="1" applyAlignment="1" applyProtection="1">
      <alignment horizontal="center" vertical="top"/>
      <protection locked="0"/>
    </xf>
    <xf numFmtId="0" fontId="20" fillId="35" borderId="0" xfId="0" applyNumberFormat="1" applyFont="1" applyFill="1" applyBorder="1" applyAlignment="1" applyProtection="1">
      <alignment horizontal="center"/>
      <protection hidden="1"/>
    </xf>
    <xf numFmtId="0" fontId="20" fillId="35" borderId="0" xfId="0" applyFont="1" applyFill="1" applyBorder="1" applyAlignment="1" applyProtection="1">
      <alignment horizontal="center" vertical="top" wrapText="1"/>
      <protection hidden="1"/>
    </xf>
    <xf numFmtId="1" fontId="20" fillId="35" borderId="0" xfId="0" applyNumberFormat="1" applyFont="1" applyFill="1" applyBorder="1" applyAlignment="1" applyProtection="1">
      <alignment horizontal="center" vertical="top"/>
      <protection locked="0"/>
    </xf>
    <xf numFmtId="1" fontId="20" fillId="35" borderId="0" xfId="0" applyNumberFormat="1" applyFont="1" applyFill="1" applyBorder="1" applyAlignment="1" applyProtection="1">
      <alignment horizontal="center"/>
      <protection locked="0"/>
    </xf>
    <xf numFmtId="0" fontId="38" fillId="0" borderId="33" xfId="138" applyFont="1" applyFill="1" applyBorder="1" applyAlignment="1" applyProtection="1">
      <alignment horizontal="center" vertical="top"/>
      <protection hidden="1"/>
    </xf>
    <xf numFmtId="0" fontId="38" fillId="0" borderId="0" xfId="138" applyFont="1" applyFill="1" applyBorder="1" applyAlignment="1" applyProtection="1">
      <alignment horizontal="center" vertical="top"/>
      <protection hidden="1"/>
    </xf>
    <xf numFmtId="0" fontId="31" fillId="35" borderId="34" xfId="135" applyFont="1" applyFill="1" applyBorder="1" applyAlignment="1" applyProtection="1">
      <alignment horizontal="center" vertical="top"/>
      <protection locked="0"/>
    </xf>
    <xf numFmtId="0" fontId="31" fillId="35" borderId="36" xfId="135" applyFont="1" applyFill="1" applyBorder="1" applyAlignment="1" applyProtection="1">
      <alignment horizontal="center" vertical="top"/>
      <protection locked="0"/>
    </xf>
    <xf numFmtId="0" fontId="2" fillId="35" borderId="0" xfId="135" applyFill="1" applyBorder="1" applyAlignment="1" applyProtection="1">
      <alignment vertical="top"/>
      <protection hidden="1"/>
    </xf>
    <xf numFmtId="14" fontId="2" fillId="35" borderId="0" xfId="135" applyNumberFormat="1" applyFill="1" applyAlignment="1" applyProtection="1">
      <alignment horizontal="left" vertical="top"/>
      <protection hidden="1"/>
    </xf>
    <xf numFmtId="0" fontId="2" fillId="35" borderId="44" xfId="135" applyFont="1" applyFill="1" applyBorder="1" applyAlignment="1" applyProtection="1">
      <alignment vertical="center" wrapText="1"/>
      <protection hidden="1"/>
    </xf>
    <xf numFmtId="0" fontId="2" fillId="35" borderId="1" xfId="135" applyFont="1" applyFill="1" applyBorder="1" applyAlignment="1" applyProtection="1">
      <alignment vertical="center" wrapText="1"/>
      <protection hidden="1"/>
    </xf>
    <xf numFmtId="0" fontId="2" fillId="35" borderId="13" xfId="135" applyFont="1" applyFill="1" applyBorder="1" applyAlignment="1" applyProtection="1">
      <alignment vertical="center" wrapText="1"/>
      <protection hidden="1"/>
    </xf>
    <xf numFmtId="0" fontId="2" fillId="35" borderId="45" xfId="135" applyFont="1" applyFill="1" applyBorder="1" applyAlignment="1" applyProtection="1">
      <alignment vertical="center" wrapText="1"/>
      <protection hidden="1"/>
    </xf>
    <xf numFmtId="0" fontId="2" fillId="35" borderId="0" xfId="135" applyFont="1" applyFill="1" applyBorder="1" applyAlignment="1" applyProtection="1">
      <alignment vertical="center" wrapText="1"/>
      <protection hidden="1"/>
    </xf>
    <xf numFmtId="0" fontId="2" fillId="35" borderId="14" xfId="135" applyFont="1" applyFill="1" applyBorder="1" applyAlignment="1" applyProtection="1">
      <alignment vertical="center" wrapText="1"/>
      <protection hidden="1"/>
    </xf>
    <xf numFmtId="0" fontId="2" fillId="35" borderId="37" xfId="135" applyFont="1" applyFill="1" applyBorder="1" applyAlignment="1" applyProtection="1">
      <alignment vertical="center" wrapText="1"/>
      <protection hidden="1"/>
    </xf>
    <xf numFmtId="0" fontId="2" fillId="35" borderId="21" xfId="135" applyFont="1" applyFill="1" applyBorder="1" applyAlignment="1" applyProtection="1">
      <alignment vertical="center" wrapText="1"/>
      <protection hidden="1"/>
    </xf>
    <xf numFmtId="0" fontId="2" fillId="35" borderId="20" xfId="135" applyFont="1" applyFill="1" applyBorder="1" applyAlignment="1" applyProtection="1">
      <alignment vertical="center" wrapText="1"/>
      <protection hidden="1"/>
    </xf>
    <xf numFmtId="0" fontId="3" fillId="35" borderId="45" xfId="135" applyFont="1" applyFill="1" applyBorder="1" applyAlignment="1" applyProtection="1">
      <alignment vertical="center" shrinkToFit="1"/>
      <protection hidden="1"/>
    </xf>
    <xf numFmtId="0" fontId="3" fillId="35" borderId="0" xfId="135" applyFont="1" applyFill="1" applyAlignment="1" applyProtection="1">
      <alignment vertical="center" shrinkToFit="1"/>
      <protection hidden="1"/>
    </xf>
    <xf numFmtId="0" fontId="31" fillId="35" borderId="12" xfId="135" applyNumberFormat="1" applyFont="1" applyFill="1" applyBorder="1" applyAlignment="1" applyProtection="1">
      <alignment vertical="top"/>
      <protection locked="0"/>
    </xf>
    <xf numFmtId="0" fontId="2" fillId="35" borderId="17" xfId="135" applyFont="1" applyFill="1" applyBorder="1" applyAlignment="1" applyProtection="1">
      <alignment vertical="top" wrapText="1"/>
      <protection hidden="1"/>
    </xf>
    <xf numFmtId="0" fontId="2" fillId="35" borderId="0" xfId="135" applyFill="1" applyAlignment="1" applyProtection="1">
      <alignment vertical="top"/>
      <protection hidden="1"/>
    </xf>
    <xf numFmtId="0" fontId="38" fillId="0" borderId="33" xfId="138" applyFont="1" applyFill="1" applyBorder="1" applyAlignment="1" applyProtection="1">
      <alignment vertical="top"/>
      <protection hidden="1"/>
    </xf>
    <xf numFmtId="0" fontId="38" fillId="0" borderId="0" xfId="138" applyFont="1" applyFill="1" applyBorder="1" applyAlignment="1" applyProtection="1">
      <alignment vertical="top"/>
      <protection hidden="1"/>
    </xf>
    <xf numFmtId="0" fontId="3" fillId="35" borderId="16" xfId="135" applyFont="1" applyFill="1" applyBorder="1" applyAlignment="1" applyProtection="1">
      <alignment horizontal="left" vertical="center" shrinkToFit="1"/>
      <protection locked="0"/>
    </xf>
    <xf numFmtId="0" fontId="100" fillId="35" borderId="16" xfId="135" applyFont="1" applyFill="1" applyBorder="1" applyAlignment="1" applyProtection="1">
      <alignment vertical="center"/>
      <protection hidden="1"/>
    </xf>
    <xf numFmtId="0" fontId="100" fillId="35" borderId="15" xfId="135" applyFont="1" applyFill="1" applyBorder="1" applyAlignment="1" applyProtection="1">
      <alignment vertical="center"/>
      <protection hidden="1"/>
    </xf>
    <xf numFmtId="0" fontId="100" fillId="35" borderId="25" xfId="135" applyFont="1" applyFill="1" applyBorder="1" applyAlignment="1" applyProtection="1">
      <alignment vertical="center"/>
      <protection hidden="1"/>
    </xf>
    <xf numFmtId="0" fontId="14" fillId="35" borderId="16" xfId="135" applyFont="1" applyFill="1" applyBorder="1" applyAlignment="1" applyProtection="1">
      <alignment vertical="center"/>
      <protection locked="0"/>
    </xf>
    <xf numFmtId="0" fontId="14" fillId="35" borderId="15" xfId="135" applyFont="1" applyFill="1" applyBorder="1" applyAlignment="1" applyProtection="1">
      <alignment vertical="center"/>
      <protection locked="0"/>
    </xf>
    <xf numFmtId="0" fontId="14" fillId="35" borderId="25" xfId="135" applyFont="1" applyFill="1" applyBorder="1" applyAlignment="1" applyProtection="1">
      <alignment vertical="center"/>
      <protection locked="0"/>
    </xf>
    <xf numFmtId="0" fontId="14" fillId="0" borderId="16" xfId="135" applyFont="1" applyFill="1" applyBorder="1" applyAlignment="1" applyProtection="1">
      <alignment vertical="center"/>
      <protection locked="0"/>
    </xf>
    <xf numFmtId="0" fontId="14" fillId="0" borderId="15" xfId="135" applyFont="1" applyFill="1" applyBorder="1" applyAlignment="1" applyProtection="1">
      <alignment vertical="center"/>
      <protection locked="0"/>
    </xf>
    <xf numFmtId="0" fontId="14" fillId="0" borderId="25" xfId="135" applyFont="1" applyFill="1" applyBorder="1" applyAlignment="1" applyProtection="1">
      <alignment vertical="center"/>
      <protection locked="0"/>
    </xf>
    <xf numFmtId="0" fontId="2" fillId="35" borderId="31" xfId="135" applyFont="1" applyFill="1" applyBorder="1" applyAlignment="1" applyProtection="1">
      <alignment vertical="top" wrapText="1"/>
      <protection hidden="1"/>
    </xf>
    <xf numFmtId="0" fontId="2" fillId="35" borderId="12" xfId="135" applyFill="1" applyBorder="1" applyAlignment="1" applyProtection="1">
      <alignment vertical="center"/>
      <protection locked="0"/>
    </xf>
    <xf numFmtId="0" fontId="2" fillId="35" borderId="12" xfId="135" applyFill="1" applyBorder="1" applyAlignment="1" applyProtection="1">
      <alignment vertical="center" shrinkToFit="1"/>
      <protection locked="0"/>
    </xf>
    <xf numFmtId="0" fontId="2" fillId="35" borderId="12" xfId="135" applyFont="1" applyFill="1" applyBorder="1" applyAlignment="1" applyProtection="1">
      <alignment horizontal="center" vertical="top"/>
      <protection hidden="1"/>
    </xf>
    <xf numFmtId="0" fontId="2" fillId="35" borderId="16" xfId="135" applyFont="1" applyFill="1" applyBorder="1" applyAlignment="1" applyProtection="1">
      <alignment vertical="top"/>
      <protection hidden="1"/>
    </xf>
    <xf numFmtId="0" fontId="2" fillId="35" borderId="15" xfId="135" applyFont="1" applyFill="1" applyBorder="1" applyAlignment="1" applyProtection="1">
      <alignment vertical="top"/>
      <protection hidden="1"/>
    </xf>
    <xf numFmtId="0" fontId="2" fillId="35" borderId="12" xfId="135" applyFill="1" applyBorder="1" applyAlignment="1" applyProtection="1">
      <alignment horizontal="center" vertical="top" wrapText="1"/>
      <protection hidden="1"/>
    </xf>
    <xf numFmtId="0" fontId="2" fillId="35" borderId="12" xfId="135" applyFill="1" applyBorder="1" applyAlignment="1" applyProtection="1">
      <alignment horizontal="left" vertical="center"/>
      <protection locked="0"/>
    </xf>
    <xf numFmtId="0" fontId="2" fillId="35" borderId="16" xfId="135" applyFont="1" applyFill="1" applyBorder="1" applyAlignment="1" applyProtection="1">
      <alignment horizontal="center" vertical="top" wrapText="1"/>
      <protection hidden="1"/>
    </xf>
    <xf numFmtId="0" fontId="2" fillId="35" borderId="16" xfId="135" applyFont="1" applyFill="1" applyBorder="1" applyAlignment="1" applyProtection="1">
      <alignment horizontal="left" vertical="center" shrinkToFit="1"/>
      <protection locked="0"/>
    </xf>
    <xf numFmtId="0" fontId="31" fillId="0" borderId="16" xfId="135" applyFont="1" applyFill="1" applyBorder="1" applyAlignment="1" applyProtection="1">
      <alignment vertical="top"/>
      <protection locked="0"/>
    </xf>
    <xf numFmtId="0" fontId="31" fillId="0" borderId="15" xfId="135" applyFont="1" applyFill="1" applyBorder="1" applyAlignment="1" applyProtection="1">
      <alignment vertical="top"/>
      <protection locked="0"/>
    </xf>
    <xf numFmtId="0" fontId="31" fillId="0" borderId="25" xfId="135" applyFont="1" applyFill="1" applyBorder="1" applyAlignment="1" applyProtection="1">
      <alignment vertical="top"/>
      <protection locked="0"/>
    </xf>
    <xf numFmtId="0" fontId="31" fillId="0" borderId="16" xfId="135" applyNumberFormat="1" applyFont="1" applyFill="1" applyBorder="1" applyAlignment="1" applyProtection="1">
      <alignment vertical="top"/>
      <protection locked="0"/>
    </xf>
    <xf numFmtId="0" fontId="31" fillId="0" borderId="15" xfId="135" applyNumberFormat="1" applyFont="1" applyFill="1" applyBorder="1" applyAlignment="1" applyProtection="1">
      <alignment vertical="top"/>
      <protection locked="0"/>
    </xf>
    <xf numFmtId="0" fontId="31" fillId="0" borderId="25" xfId="135" applyNumberFormat="1" applyFont="1" applyFill="1" applyBorder="1" applyAlignment="1" applyProtection="1">
      <alignment vertical="top"/>
      <protection locked="0"/>
    </xf>
    <xf numFmtId="0" fontId="2" fillId="35" borderId="12" xfId="135" applyFill="1" applyBorder="1" applyAlignment="1" applyProtection="1">
      <alignment vertical="center" wrapText="1"/>
      <protection locked="0"/>
    </xf>
    <xf numFmtId="0" fontId="7" fillId="35" borderId="16" xfId="0" applyFont="1" applyFill="1" applyBorder="1" applyAlignment="1" applyProtection="1">
      <alignment horizontal="left" vertical="top" wrapText="1"/>
      <protection hidden="1"/>
    </xf>
    <xf numFmtId="0" fontId="7" fillId="35" borderId="15" xfId="0" applyFont="1" applyFill="1" applyBorder="1" applyAlignment="1" applyProtection="1">
      <alignment horizontal="left" vertical="top" wrapText="1"/>
      <protection hidden="1"/>
    </xf>
    <xf numFmtId="0" fontId="2" fillId="35" borderId="16" xfId="135" applyFont="1" applyFill="1" applyBorder="1" applyAlignment="1" applyProtection="1">
      <alignment vertical="top" wrapText="1"/>
      <protection hidden="1"/>
    </xf>
    <xf numFmtId="0" fontId="2" fillId="35" borderId="15" xfId="135" applyFont="1" applyFill="1" applyBorder="1" applyAlignment="1" applyProtection="1">
      <alignment vertical="top" wrapText="1"/>
      <protection hidden="1"/>
    </xf>
    <xf numFmtId="0" fontId="31" fillId="35" borderId="16" xfId="135" applyFont="1" applyFill="1" applyBorder="1" applyAlignment="1" applyProtection="1">
      <alignment vertical="top"/>
      <protection locked="0"/>
    </xf>
    <xf numFmtId="0" fontId="31" fillId="35" borderId="15" xfId="135" applyFont="1" applyFill="1" applyBorder="1" applyAlignment="1" applyProtection="1">
      <alignment vertical="top"/>
      <protection locked="0"/>
    </xf>
    <xf numFmtId="0" fontId="31" fillId="35" borderId="25" xfId="135" applyFont="1" applyFill="1" applyBorder="1" applyAlignment="1" applyProtection="1">
      <alignment vertical="top"/>
      <protection locked="0"/>
    </xf>
    <xf numFmtId="0" fontId="2" fillId="35" borderId="29" xfId="135" applyFont="1" applyFill="1" applyBorder="1" applyAlignment="1" applyProtection="1">
      <alignment vertical="center" wrapText="1"/>
      <protection hidden="1"/>
    </xf>
    <xf numFmtId="0" fontId="2" fillId="35" borderId="17" xfId="135" applyFont="1" applyFill="1" applyBorder="1" applyAlignment="1" applyProtection="1">
      <alignment vertical="center" wrapText="1"/>
      <protection hidden="1"/>
    </xf>
    <xf numFmtId="0" fontId="2" fillId="35" borderId="16" xfId="135" applyFont="1" applyFill="1" applyBorder="1" applyAlignment="1" applyProtection="1">
      <alignment vertical="center" wrapText="1"/>
      <protection hidden="1"/>
    </xf>
    <xf numFmtId="0" fontId="2" fillId="35" borderId="15" xfId="135" applyFont="1" applyFill="1" applyBorder="1" applyAlignment="1" applyProtection="1">
      <alignment vertical="center" wrapText="1"/>
      <protection hidden="1"/>
    </xf>
    <xf numFmtId="0" fontId="31" fillId="35" borderId="29" xfId="135" applyFont="1" applyFill="1" applyBorder="1" applyAlignment="1" applyProtection="1">
      <alignment horizontal="right" vertical="center"/>
      <protection locked="0"/>
    </xf>
    <xf numFmtId="0" fontId="31" fillId="35" borderId="17" xfId="135" applyFont="1" applyFill="1" applyBorder="1" applyAlignment="1" applyProtection="1">
      <alignment horizontal="right" vertical="center"/>
      <protection locked="0"/>
    </xf>
    <xf numFmtId="0" fontId="31" fillId="35" borderId="18" xfId="135" applyFont="1" applyFill="1" applyBorder="1" applyAlignment="1" applyProtection="1">
      <alignment horizontal="right" vertical="center"/>
      <protection locked="0"/>
    </xf>
    <xf numFmtId="0" fontId="31" fillId="35" borderId="31" xfId="135" applyFont="1" applyFill="1" applyBorder="1" applyAlignment="1" applyProtection="1">
      <alignment horizontal="right" vertical="center"/>
      <protection locked="0"/>
    </xf>
    <xf numFmtId="0" fontId="31" fillId="35" borderId="32" xfId="135" applyFont="1" applyFill="1" applyBorder="1" applyAlignment="1" applyProtection="1">
      <alignment horizontal="right" vertical="center"/>
      <protection locked="0"/>
    </xf>
    <xf numFmtId="0" fontId="154" fillId="35" borderId="34" xfId="135" quotePrefix="1" applyFont="1" applyFill="1" applyBorder="1" applyAlignment="1" applyProtection="1">
      <alignment vertical="center"/>
      <protection locked="0"/>
    </xf>
    <xf numFmtId="0" fontId="154" fillId="35" borderId="36" xfId="135" quotePrefix="1" applyFont="1" applyFill="1" applyBorder="1" applyAlignment="1" applyProtection="1">
      <alignment vertical="center"/>
      <protection locked="0"/>
    </xf>
    <xf numFmtId="0" fontId="43" fillId="35" borderId="16" xfId="135" applyFont="1" applyFill="1" applyBorder="1" applyAlignment="1" applyProtection="1">
      <alignment vertical="top"/>
      <protection hidden="1"/>
    </xf>
    <xf numFmtId="0" fontId="43" fillId="35" borderId="15" xfId="135" applyFont="1" applyFill="1" applyBorder="1" applyAlignment="1" applyProtection="1">
      <alignment vertical="top"/>
      <protection hidden="1"/>
    </xf>
    <xf numFmtId="0" fontId="43" fillId="35" borderId="25" xfId="135" applyFont="1" applyFill="1" applyBorder="1" applyAlignment="1" applyProtection="1">
      <alignment vertical="top"/>
      <protection hidden="1"/>
    </xf>
    <xf numFmtId="0" fontId="31" fillId="0" borderId="12" xfId="135" applyNumberFormat="1" applyFont="1" applyFill="1" applyBorder="1" applyAlignment="1" applyProtection="1">
      <alignment vertical="top"/>
      <protection locked="0"/>
    </xf>
    <xf numFmtId="0" fontId="31" fillId="0" borderId="16" xfId="138" applyFont="1" applyFill="1" applyBorder="1" applyAlignment="1" applyProtection="1">
      <alignment vertical="top"/>
      <protection locked="0"/>
    </xf>
    <xf numFmtId="0" fontId="31" fillId="0" borderId="15" xfId="138" applyFont="1" applyFill="1" applyBorder="1" applyAlignment="1" applyProtection="1">
      <alignment vertical="top"/>
      <protection locked="0"/>
    </xf>
    <xf numFmtId="0" fontId="31" fillId="0" borderId="25" xfId="138" applyFont="1" applyFill="1" applyBorder="1" applyAlignment="1" applyProtection="1">
      <alignment vertical="top"/>
      <protection locked="0"/>
    </xf>
    <xf numFmtId="0" fontId="14" fillId="35" borderId="16" xfId="135" applyNumberFormat="1" applyFont="1" applyFill="1" applyBorder="1" applyAlignment="1" applyProtection="1">
      <alignment horizontal="right" vertical="center" shrinkToFit="1"/>
      <protection locked="0"/>
    </xf>
    <xf numFmtId="0" fontId="14" fillId="35" borderId="25" xfId="135" applyNumberFormat="1" applyFont="1" applyFill="1" applyBorder="1" applyAlignment="1" applyProtection="1">
      <alignment horizontal="right" vertical="center" shrinkToFit="1"/>
      <protection locked="0"/>
    </xf>
    <xf numFmtId="0" fontId="47" fillId="35" borderId="15" xfId="135" applyFont="1" applyFill="1" applyBorder="1" applyAlignment="1" applyProtection="1">
      <alignment vertical="center"/>
      <protection hidden="1"/>
    </xf>
    <xf numFmtId="0" fontId="47" fillId="35" borderId="25" xfId="135" applyFont="1" applyFill="1" applyBorder="1" applyAlignment="1" applyProtection="1">
      <alignment vertical="center"/>
      <protection hidden="1"/>
    </xf>
    <xf numFmtId="0" fontId="31" fillId="35" borderId="16" xfId="135" applyFont="1" applyFill="1" applyBorder="1" applyAlignment="1" applyProtection="1">
      <alignment vertical="center"/>
      <protection locked="0"/>
    </xf>
    <xf numFmtId="0" fontId="31" fillId="35" borderId="15" xfId="135" applyFont="1" applyFill="1" applyBorder="1" applyAlignment="1" applyProtection="1">
      <alignment vertical="center"/>
      <protection locked="0"/>
    </xf>
    <xf numFmtId="0" fontId="31" fillId="35" borderId="25" xfId="135" applyFont="1" applyFill="1" applyBorder="1" applyAlignment="1" applyProtection="1">
      <alignment vertical="center"/>
      <protection locked="0"/>
    </xf>
    <xf numFmtId="0" fontId="43" fillId="0" borderId="29" xfId="138" applyFont="1" applyFill="1" applyBorder="1" applyAlignment="1" applyProtection="1">
      <alignment vertical="top"/>
      <protection hidden="1"/>
    </xf>
    <xf numFmtId="0" fontId="43" fillId="0" borderId="17" xfId="138" applyFont="1" applyFill="1" applyBorder="1" applyAlignment="1" applyProtection="1">
      <alignment vertical="top"/>
      <protection hidden="1"/>
    </xf>
    <xf numFmtId="0" fontId="43" fillId="0" borderId="18" xfId="138" applyFont="1" applyFill="1" applyBorder="1" applyAlignment="1" applyProtection="1">
      <alignment vertical="top"/>
      <protection hidden="1"/>
    </xf>
    <xf numFmtId="0" fontId="2" fillId="35" borderId="0" xfId="135" applyFont="1" applyFill="1" applyAlignment="1" applyProtection="1">
      <alignment vertical="top"/>
      <protection hidden="1"/>
    </xf>
    <xf numFmtId="0" fontId="31" fillId="35" borderId="16" xfId="135" applyFont="1" applyFill="1" applyBorder="1" applyAlignment="1" applyProtection="1">
      <alignment vertical="top" shrinkToFit="1"/>
      <protection locked="0"/>
    </xf>
    <xf numFmtId="0" fontId="31" fillId="35" borderId="15" xfId="135" applyFont="1" applyFill="1" applyBorder="1" applyAlignment="1" applyProtection="1">
      <alignment vertical="top" shrinkToFit="1"/>
      <protection locked="0"/>
    </xf>
    <xf numFmtId="0" fontId="31" fillId="35" borderId="25" xfId="135" applyFont="1" applyFill="1" applyBorder="1" applyAlignment="1" applyProtection="1">
      <alignment vertical="top" shrinkToFit="1"/>
      <protection locked="0"/>
    </xf>
    <xf numFmtId="0" fontId="47" fillId="35" borderId="31" xfId="135" applyFont="1" applyFill="1" applyBorder="1" applyAlignment="1" applyProtection="1">
      <alignment vertical="top"/>
      <protection locked="0"/>
    </xf>
    <xf numFmtId="0" fontId="31" fillId="35" borderId="30" xfId="135" applyFont="1" applyFill="1" applyBorder="1" applyAlignment="1" applyProtection="1">
      <alignment horizontal="right" vertical="center"/>
      <protection locked="0"/>
    </xf>
    <xf numFmtId="0" fontId="2" fillId="35" borderId="16" xfId="135" applyNumberFormat="1" applyFont="1" applyFill="1" applyBorder="1" applyAlignment="1" applyProtection="1">
      <alignment horizontal="right" vertical="center" shrinkToFit="1"/>
    </xf>
    <xf numFmtId="0" fontId="2" fillId="35" borderId="25" xfId="135" applyNumberFormat="1" applyFont="1" applyFill="1" applyBorder="1" applyAlignment="1" applyProtection="1">
      <alignment horizontal="right" vertical="center" shrinkToFit="1"/>
    </xf>
    <xf numFmtId="0" fontId="2" fillId="35" borderId="16" xfId="135" applyFont="1" applyFill="1" applyBorder="1" applyAlignment="1" applyProtection="1">
      <alignment horizontal="left" vertical="center" wrapText="1"/>
      <protection hidden="1"/>
    </xf>
    <xf numFmtId="0" fontId="2" fillId="35" borderId="15" xfId="135" applyFont="1" applyFill="1" applyBorder="1" applyAlignment="1" applyProtection="1">
      <alignment horizontal="left" vertical="center" wrapText="1"/>
      <protection hidden="1"/>
    </xf>
    <xf numFmtId="0" fontId="19" fillId="35" borderId="16" xfId="135" applyFont="1" applyFill="1" applyBorder="1" applyAlignment="1" applyProtection="1">
      <alignment horizontal="left" vertical="center" wrapText="1"/>
    </xf>
    <xf numFmtId="0" fontId="19" fillId="35" borderId="15" xfId="135" applyFont="1" applyFill="1" applyBorder="1" applyAlignment="1" applyProtection="1">
      <alignment horizontal="left" vertical="center" wrapText="1"/>
    </xf>
    <xf numFmtId="0" fontId="14" fillId="35" borderId="33" xfId="135" applyNumberFormat="1" applyFont="1" applyFill="1" applyBorder="1" applyAlignment="1" applyProtection="1">
      <alignment horizontal="right" vertical="center" shrinkToFit="1"/>
    </xf>
    <xf numFmtId="0" fontId="14" fillId="35" borderId="19" xfId="135" applyNumberFormat="1" applyFont="1" applyFill="1" applyBorder="1" applyAlignment="1" applyProtection="1">
      <alignment horizontal="right" vertical="center" shrinkToFit="1"/>
    </xf>
    <xf numFmtId="0" fontId="3" fillId="0" borderId="16" xfId="135" applyNumberFormat="1" applyFont="1" applyFill="1" applyBorder="1" applyAlignment="1" applyProtection="1">
      <alignment horizontal="right" vertical="center" shrinkToFit="1"/>
    </xf>
    <xf numFmtId="0" fontId="3" fillId="0" borderId="25" xfId="135" applyNumberFormat="1" applyFont="1" applyFill="1" applyBorder="1" applyAlignment="1" applyProtection="1">
      <alignment horizontal="right" vertical="center" shrinkToFit="1"/>
    </xf>
    <xf numFmtId="0" fontId="2" fillId="35" borderId="16" xfId="135" applyFill="1" applyBorder="1" applyAlignment="1" applyProtection="1">
      <alignment horizontal="left" vertical="center" wrapText="1"/>
      <protection hidden="1"/>
    </xf>
    <xf numFmtId="0" fontId="2" fillId="35" borderId="15" xfId="135" applyFill="1" applyBorder="1" applyAlignment="1" applyProtection="1">
      <alignment horizontal="left" vertical="center" wrapText="1"/>
      <protection hidden="1"/>
    </xf>
    <xf numFmtId="0" fontId="19" fillId="35" borderId="16" xfId="135" applyFont="1" applyFill="1" applyBorder="1" applyAlignment="1" applyProtection="1">
      <alignment horizontal="center" vertical="center" wrapText="1"/>
      <protection hidden="1"/>
    </xf>
    <xf numFmtId="0" fontId="19" fillId="35" borderId="15" xfId="135" applyFont="1" applyFill="1" applyBorder="1" applyAlignment="1" applyProtection="1">
      <alignment horizontal="center" vertical="center" wrapText="1"/>
      <protection hidden="1"/>
    </xf>
    <xf numFmtId="0" fontId="11" fillId="35" borderId="16" xfId="135" applyNumberFormat="1" applyFont="1" applyFill="1" applyBorder="1" applyAlignment="1" applyProtection="1">
      <alignment horizontal="right" vertical="center" shrinkToFit="1"/>
    </xf>
    <xf numFmtId="0" fontId="11" fillId="35" borderId="25" xfId="135" applyNumberFormat="1" applyFont="1" applyFill="1" applyBorder="1" applyAlignment="1" applyProtection="1">
      <alignment horizontal="right" vertical="center" shrinkToFit="1"/>
    </xf>
    <xf numFmtId="0" fontId="14" fillId="35" borderId="29" xfId="135" applyNumberFormat="1" applyFont="1" applyFill="1" applyBorder="1" applyAlignment="1" applyProtection="1">
      <alignment horizontal="right" vertical="center" shrinkToFit="1"/>
    </xf>
    <xf numFmtId="0" fontId="14" fillId="35" borderId="18" xfId="135" applyNumberFormat="1" applyFont="1" applyFill="1" applyBorder="1" applyAlignment="1" applyProtection="1">
      <alignment horizontal="right" vertical="center" shrinkToFit="1"/>
    </xf>
    <xf numFmtId="170" fontId="2" fillId="35" borderId="16" xfId="135" applyNumberFormat="1" applyFill="1" applyBorder="1" applyAlignment="1" applyProtection="1">
      <alignment horizontal="left" vertical="center" shrinkToFit="1"/>
      <protection hidden="1"/>
    </xf>
    <xf numFmtId="170" fontId="2" fillId="35" borderId="25" xfId="135" applyNumberFormat="1" applyFill="1" applyBorder="1" applyAlignment="1" applyProtection="1">
      <alignment horizontal="left" vertical="center" shrinkToFit="1"/>
      <protection hidden="1"/>
    </xf>
    <xf numFmtId="0" fontId="2" fillId="35" borderId="16" xfId="135" applyFill="1" applyBorder="1" applyAlignment="1" applyProtection="1">
      <alignment vertical="top"/>
      <protection hidden="1"/>
    </xf>
    <xf numFmtId="0" fontId="2" fillId="35" borderId="15" xfId="135" applyFill="1" applyBorder="1" applyAlignment="1" applyProtection="1">
      <alignment vertical="top"/>
      <protection hidden="1"/>
    </xf>
    <xf numFmtId="0" fontId="2" fillId="35" borderId="25" xfId="135" applyFill="1" applyBorder="1" applyAlignment="1" applyProtection="1">
      <alignment vertical="top"/>
      <protection hidden="1"/>
    </xf>
    <xf numFmtId="0" fontId="19" fillId="35" borderId="29" xfId="135" applyFont="1" applyFill="1" applyBorder="1" applyAlignment="1" applyProtection="1">
      <alignment horizontal="center" vertical="center" wrapText="1"/>
      <protection hidden="1"/>
    </xf>
    <xf numFmtId="0" fontId="19" fillId="35" borderId="18" xfId="135" applyFont="1" applyFill="1" applyBorder="1" applyAlignment="1" applyProtection="1">
      <alignment horizontal="center" vertical="center" wrapText="1"/>
      <protection hidden="1"/>
    </xf>
    <xf numFmtId="0" fontId="19" fillId="35" borderId="30" xfId="135" applyFont="1" applyFill="1" applyBorder="1" applyAlignment="1" applyProtection="1">
      <alignment horizontal="center" vertical="center" wrapText="1"/>
      <protection hidden="1"/>
    </xf>
    <xf numFmtId="0" fontId="19" fillId="35" borderId="32" xfId="135" applyFont="1" applyFill="1" applyBorder="1" applyAlignment="1" applyProtection="1">
      <alignment horizontal="center" vertical="center" wrapText="1"/>
      <protection hidden="1"/>
    </xf>
    <xf numFmtId="0" fontId="127" fillId="35" borderId="12" xfId="135" applyFont="1" applyFill="1" applyBorder="1" applyAlignment="1" applyProtection="1">
      <alignment horizontal="center" vertical="center" textRotation="180" wrapText="1"/>
      <protection hidden="1"/>
    </xf>
    <xf numFmtId="0" fontId="19" fillId="35" borderId="12" xfId="135" applyFont="1" applyFill="1" applyBorder="1" applyAlignment="1" applyProtection="1">
      <alignment horizontal="center" vertical="center" wrapText="1"/>
      <protection hidden="1"/>
    </xf>
    <xf numFmtId="0" fontId="19" fillId="35" borderId="12" xfId="135" applyFont="1" applyFill="1" applyBorder="1" applyAlignment="1" applyProtection="1">
      <alignment horizontal="center" vertical="center" textRotation="180" wrapText="1"/>
      <protection hidden="1"/>
    </xf>
    <xf numFmtId="0" fontId="19" fillId="35" borderId="25" xfId="135" applyFont="1" applyFill="1" applyBorder="1" applyAlignment="1" applyProtection="1">
      <alignment horizontal="center" vertical="center" wrapText="1"/>
      <protection hidden="1"/>
    </xf>
    <xf numFmtId="0" fontId="11" fillId="35" borderId="12" xfId="135" applyFont="1" applyFill="1" applyBorder="1" applyAlignment="1" applyProtection="1">
      <alignment vertical="top"/>
      <protection hidden="1"/>
    </xf>
    <xf numFmtId="169" fontId="11" fillId="35" borderId="0" xfId="135" applyNumberFormat="1" applyFont="1" applyFill="1" applyAlignment="1" applyProtection="1">
      <alignment horizontal="right" vertical="top"/>
      <protection hidden="1"/>
    </xf>
    <xf numFmtId="169" fontId="11" fillId="35" borderId="0" xfId="135" applyNumberFormat="1" applyFont="1" applyFill="1" applyAlignment="1" applyProtection="1">
      <alignment horizontal="left" vertical="top"/>
      <protection hidden="1"/>
    </xf>
    <xf numFmtId="17" fontId="2" fillId="35" borderId="19" xfId="135" applyNumberFormat="1" applyFill="1" applyBorder="1" applyAlignment="1" applyProtection="1">
      <alignment vertical="center"/>
      <protection hidden="1"/>
    </xf>
    <xf numFmtId="0" fontId="2" fillId="35" borderId="19" xfId="135" applyFill="1" applyBorder="1" applyAlignment="1" applyProtection="1">
      <alignment vertical="center"/>
      <protection hidden="1"/>
    </xf>
    <xf numFmtId="0" fontId="2" fillId="0" borderId="12" xfId="136" applyFont="1" applyFill="1" applyBorder="1" applyAlignment="1" applyProtection="1">
      <alignment horizontal="right" vertical="center"/>
      <protection hidden="1"/>
    </xf>
    <xf numFmtId="0" fontId="2" fillId="35" borderId="29" xfId="136" applyFill="1" applyBorder="1" applyAlignment="1" applyProtection="1">
      <alignment horizontal="right" vertical="top" indent="1"/>
      <protection hidden="1"/>
    </xf>
    <xf numFmtId="0" fontId="2" fillId="35" borderId="17" xfId="136" applyFill="1" applyBorder="1" applyAlignment="1" applyProtection="1">
      <alignment horizontal="right" vertical="top" indent="1"/>
      <protection hidden="1"/>
    </xf>
    <xf numFmtId="0" fontId="2" fillId="35" borderId="18" xfId="136" applyFill="1" applyBorder="1" applyAlignment="1" applyProtection="1">
      <alignment horizontal="right" vertical="top" indent="1"/>
      <protection hidden="1"/>
    </xf>
    <xf numFmtId="0" fontId="2" fillId="0" borderId="16" xfId="136" applyFont="1" applyFill="1" applyBorder="1" applyAlignment="1" applyProtection="1">
      <alignment vertical="center" shrinkToFit="1"/>
      <protection hidden="1"/>
    </xf>
    <xf numFmtId="0" fontId="2" fillId="0" borderId="15" xfId="136" applyFont="1" applyFill="1" applyBorder="1" applyAlignment="1" applyProtection="1">
      <alignment vertical="center" shrinkToFit="1"/>
      <protection hidden="1"/>
    </xf>
    <xf numFmtId="0" fontId="2" fillId="35" borderId="33" xfId="136" applyFill="1" applyBorder="1" applyAlignment="1" applyProtection="1">
      <alignment horizontal="right" vertical="top" indent="1"/>
      <protection hidden="1"/>
    </xf>
    <xf numFmtId="0" fontId="2" fillId="35" borderId="0" xfId="136" applyFill="1" applyBorder="1" applyAlignment="1" applyProtection="1">
      <alignment horizontal="right" vertical="top" indent="1"/>
      <protection hidden="1"/>
    </xf>
    <xf numFmtId="0" fontId="2" fillId="35" borderId="19" xfId="136" applyFill="1" applyBorder="1" applyAlignment="1" applyProtection="1">
      <alignment horizontal="right" vertical="top" indent="1"/>
      <protection hidden="1"/>
    </xf>
    <xf numFmtId="0" fontId="2" fillId="35" borderId="16" xfId="136" applyFont="1" applyFill="1" applyBorder="1" applyAlignment="1" applyProtection="1">
      <alignment horizontal="right" vertical="center" wrapText="1"/>
      <protection hidden="1"/>
    </xf>
    <xf numFmtId="0" fontId="2" fillId="35" borderId="15" xfId="136" applyFont="1" applyFill="1" applyBorder="1" applyAlignment="1" applyProtection="1">
      <alignment horizontal="right" vertical="center" wrapText="1"/>
      <protection hidden="1"/>
    </xf>
    <xf numFmtId="0" fontId="2" fillId="35" borderId="25" xfId="136" applyFont="1" applyFill="1" applyBorder="1" applyAlignment="1" applyProtection="1">
      <alignment horizontal="right" vertical="center" wrapText="1"/>
      <protection hidden="1"/>
    </xf>
    <xf numFmtId="0" fontId="2" fillId="35" borderId="12" xfId="136" applyFont="1" applyFill="1" applyBorder="1" applyAlignment="1" applyProtection="1">
      <alignment horizontal="right" vertical="center"/>
      <protection hidden="1"/>
    </xf>
    <xf numFmtId="0" fontId="2" fillId="0" borderId="16" xfId="136" applyFont="1" applyFill="1" applyBorder="1" applyAlignment="1" applyProtection="1">
      <alignment horizontal="right" vertical="center" wrapText="1"/>
      <protection hidden="1"/>
    </xf>
    <xf numFmtId="0" fontId="2" fillId="0" borderId="15" xfId="136" applyFont="1" applyFill="1" applyBorder="1" applyAlignment="1" applyProtection="1">
      <alignment horizontal="right" vertical="center" wrapText="1"/>
      <protection hidden="1"/>
    </xf>
    <xf numFmtId="0" fontId="2" fillId="0" borderId="25" xfId="136" applyFont="1" applyFill="1" applyBorder="1" applyAlignment="1" applyProtection="1">
      <alignment horizontal="right" vertical="center" wrapText="1"/>
      <protection hidden="1"/>
    </xf>
    <xf numFmtId="0" fontId="2" fillId="35" borderId="12" xfId="136" applyFont="1" applyFill="1" applyBorder="1" applyAlignment="1" applyProtection="1">
      <alignment vertical="center"/>
      <protection hidden="1"/>
    </xf>
    <xf numFmtId="0" fontId="2" fillId="35" borderId="12" xfId="136" applyFill="1" applyBorder="1" applyAlignment="1" applyProtection="1">
      <alignment vertical="center"/>
      <protection hidden="1"/>
    </xf>
    <xf numFmtId="0" fontId="2" fillId="35" borderId="16" xfId="136" applyFill="1" applyBorder="1" applyAlignment="1" applyProtection="1">
      <alignment vertical="center" shrinkToFit="1"/>
      <protection hidden="1"/>
    </xf>
    <xf numFmtId="0" fontId="2" fillId="35" borderId="15" xfId="136" applyFill="1" applyBorder="1" applyAlignment="1" applyProtection="1">
      <alignment vertical="center" shrinkToFit="1"/>
      <protection hidden="1"/>
    </xf>
    <xf numFmtId="0" fontId="4" fillId="35" borderId="15" xfId="133" applyFont="1" applyFill="1" applyBorder="1" applyAlignment="1" applyProtection="1">
      <alignment vertical="center" shrinkToFit="1"/>
      <protection hidden="1"/>
    </xf>
    <xf numFmtId="0" fontId="3" fillId="35" borderId="15" xfId="136" applyFont="1" applyFill="1" applyBorder="1" applyAlignment="1" applyProtection="1">
      <alignment horizontal="center" vertical="center" shrinkToFit="1"/>
      <protection hidden="1"/>
    </xf>
    <xf numFmtId="0" fontId="2" fillId="35" borderId="16" xfId="136" applyFont="1" applyFill="1" applyBorder="1" applyAlignment="1" applyProtection="1">
      <alignment horizontal="center" vertical="center" shrinkToFit="1"/>
      <protection hidden="1"/>
    </xf>
    <xf numFmtId="0" fontId="2" fillId="35" borderId="25" xfId="136" applyFont="1" applyFill="1" applyBorder="1" applyAlignment="1" applyProtection="1">
      <alignment horizontal="center" vertical="center" shrinkToFit="1"/>
      <protection hidden="1"/>
    </xf>
    <xf numFmtId="0" fontId="2" fillId="35" borderId="15" xfId="136" applyFont="1" applyFill="1" applyBorder="1" applyAlignment="1" applyProtection="1">
      <alignment horizontal="left" vertical="center"/>
      <protection hidden="1"/>
    </xf>
    <xf numFmtId="0" fontId="2" fillId="35" borderId="15" xfId="136" applyFill="1" applyBorder="1" applyAlignment="1" applyProtection="1">
      <alignment horizontal="center" vertical="center"/>
      <protection hidden="1"/>
    </xf>
    <xf numFmtId="0" fontId="2" fillId="35" borderId="25" xfId="136" applyFill="1" applyBorder="1" applyAlignment="1" applyProtection="1">
      <alignment horizontal="center" vertical="center"/>
      <protection hidden="1"/>
    </xf>
    <xf numFmtId="0" fontId="57" fillId="37" borderId="0" xfId="114" applyFont="1" applyFill="1" applyBorder="1" applyAlignment="1" applyProtection="1">
      <alignment horizontal="center" vertical="top" wrapText="1"/>
      <protection hidden="1"/>
    </xf>
    <xf numFmtId="0" fontId="28" fillId="36" borderId="0" xfId="0" applyFont="1" applyFill="1" applyBorder="1" applyAlignment="1" applyProtection="1">
      <alignment horizontal="center" vertical="center" wrapText="1"/>
      <protection hidden="1"/>
    </xf>
    <xf numFmtId="185" fontId="35" fillId="35" borderId="0" xfId="136" applyNumberFormat="1" applyFont="1" applyFill="1" applyAlignment="1" applyProtection="1">
      <alignment horizontal="left" vertical="top"/>
      <protection hidden="1"/>
    </xf>
    <xf numFmtId="169" fontId="35" fillId="35" borderId="0" xfId="136" applyNumberFormat="1" applyFont="1" applyFill="1" applyAlignment="1" applyProtection="1">
      <alignment horizontal="right" vertical="top"/>
      <protection hidden="1"/>
    </xf>
    <xf numFmtId="0" fontId="35" fillId="35" borderId="0" xfId="136" applyFont="1" applyFill="1" applyAlignment="1" applyProtection="1">
      <alignment horizontal="right" vertical="top"/>
      <protection hidden="1"/>
    </xf>
    <xf numFmtId="0" fontId="2" fillId="35" borderId="16" xfId="136" applyFill="1" applyBorder="1" applyAlignment="1" applyProtection="1">
      <alignment vertical="top"/>
      <protection hidden="1"/>
    </xf>
    <xf numFmtId="0" fontId="2" fillId="35" borderId="15" xfId="136" applyFill="1" applyBorder="1" applyAlignment="1" applyProtection="1">
      <alignment vertical="top"/>
      <protection hidden="1"/>
    </xf>
    <xf numFmtId="0" fontId="2" fillId="35" borderId="25" xfId="136" applyFill="1" applyBorder="1" applyAlignment="1" applyProtection="1">
      <alignment vertical="top"/>
      <protection hidden="1"/>
    </xf>
    <xf numFmtId="0" fontId="59" fillId="35" borderId="15" xfId="136" applyFont="1" applyFill="1" applyBorder="1" applyAlignment="1" applyProtection="1">
      <alignment vertical="top"/>
      <protection locked="0"/>
    </xf>
    <xf numFmtId="0" fontId="59" fillId="35" borderId="25" xfId="136" applyFont="1" applyFill="1" applyBorder="1" applyAlignment="1" applyProtection="1">
      <alignment vertical="top"/>
      <protection locked="0"/>
    </xf>
    <xf numFmtId="0" fontId="35" fillId="35" borderId="16" xfId="136" applyFont="1" applyFill="1" applyBorder="1" applyAlignment="1" applyProtection="1">
      <alignment vertical="top"/>
      <protection hidden="1"/>
    </xf>
    <xf numFmtId="0" fontId="35" fillId="35" borderId="15" xfId="136" applyFont="1" applyFill="1" applyBorder="1" applyAlignment="1" applyProtection="1">
      <alignment vertical="top"/>
      <protection hidden="1"/>
    </xf>
    <xf numFmtId="0" fontId="2" fillId="35" borderId="29" xfId="136" applyFill="1" applyBorder="1" applyAlignment="1" applyProtection="1">
      <alignment vertical="top" wrapText="1"/>
      <protection hidden="1"/>
    </xf>
    <xf numFmtId="0" fontId="2" fillId="35" borderId="17" xfId="136" applyFill="1" applyBorder="1" applyAlignment="1" applyProtection="1">
      <alignment vertical="top" wrapText="1"/>
      <protection hidden="1"/>
    </xf>
    <xf numFmtId="0" fontId="2" fillId="35" borderId="18" xfId="136" applyFill="1" applyBorder="1" applyAlignment="1" applyProtection="1">
      <alignment vertical="top" wrapText="1"/>
      <protection hidden="1"/>
    </xf>
    <xf numFmtId="0" fontId="2" fillId="35" borderId="30" xfId="136" applyFill="1" applyBorder="1" applyAlignment="1" applyProtection="1">
      <alignment vertical="top" wrapText="1"/>
      <protection hidden="1"/>
    </xf>
    <xf numFmtId="0" fontId="2" fillId="35" borderId="31" xfId="136" applyFill="1" applyBorder="1" applyAlignment="1" applyProtection="1">
      <alignment vertical="top" wrapText="1"/>
      <protection hidden="1"/>
    </xf>
    <xf numFmtId="0" fontId="2" fillId="35" borderId="32" xfId="136" applyFill="1" applyBorder="1" applyAlignment="1" applyProtection="1">
      <alignment vertical="top" wrapText="1"/>
      <protection hidden="1"/>
    </xf>
    <xf numFmtId="0" fontId="11" fillId="35" borderId="16" xfId="136" applyFont="1" applyFill="1" applyBorder="1" applyAlignment="1" applyProtection="1">
      <alignment vertical="top"/>
      <protection hidden="1"/>
    </xf>
    <xf numFmtId="0" fontId="11" fillId="35" borderId="15" xfId="136" applyFont="1" applyFill="1" applyBorder="1" applyAlignment="1" applyProtection="1">
      <alignment vertical="top"/>
      <protection hidden="1"/>
    </xf>
    <xf numFmtId="0" fontId="11" fillId="35" borderId="25" xfId="136" applyFont="1" applyFill="1" applyBorder="1" applyAlignment="1" applyProtection="1">
      <alignment vertical="top"/>
      <protection hidden="1"/>
    </xf>
    <xf numFmtId="0" fontId="2" fillId="35" borderId="29" xfId="136" applyFont="1" applyFill="1" applyBorder="1" applyAlignment="1" applyProtection="1">
      <alignment vertical="top"/>
      <protection hidden="1"/>
    </xf>
    <xf numFmtId="0" fontId="2" fillId="35" borderId="17" xfId="136" applyFill="1" applyBorder="1" applyAlignment="1" applyProtection="1">
      <alignment vertical="top"/>
      <protection hidden="1"/>
    </xf>
    <xf numFmtId="0" fontId="2" fillId="35" borderId="18" xfId="136" applyFill="1" applyBorder="1" applyAlignment="1" applyProtection="1">
      <alignment vertical="top"/>
      <protection hidden="1"/>
    </xf>
    <xf numFmtId="0" fontId="2" fillId="35" borderId="30" xfId="136" applyFill="1" applyBorder="1" applyAlignment="1" applyProtection="1">
      <alignment vertical="top"/>
      <protection hidden="1"/>
    </xf>
    <xf numFmtId="0" fontId="2" fillId="35" borderId="31" xfId="136" applyFill="1" applyBorder="1" applyAlignment="1" applyProtection="1">
      <alignment vertical="top"/>
      <protection hidden="1"/>
    </xf>
    <xf numFmtId="0" fontId="2" fillId="35" borderId="32" xfId="136" applyFill="1" applyBorder="1" applyAlignment="1" applyProtection="1">
      <alignment vertical="top"/>
      <protection hidden="1"/>
    </xf>
    <xf numFmtId="0" fontId="2" fillId="35" borderId="12" xfId="136" applyFill="1" applyBorder="1" applyAlignment="1" applyProtection="1">
      <alignment horizontal="right" vertical="top" indent="1"/>
      <protection hidden="1"/>
    </xf>
    <xf numFmtId="0" fontId="2" fillId="35" borderId="16" xfId="136" applyFill="1" applyBorder="1" applyAlignment="1" applyProtection="1">
      <alignment horizontal="center" vertical="center" wrapText="1"/>
      <protection hidden="1"/>
    </xf>
    <xf numFmtId="0" fontId="2" fillId="35" borderId="15" xfId="136" applyFill="1" applyBorder="1" applyAlignment="1" applyProtection="1">
      <alignment horizontal="center" vertical="center" wrapText="1"/>
      <protection hidden="1"/>
    </xf>
    <xf numFmtId="0" fontId="2" fillId="35" borderId="25" xfId="136" applyFill="1" applyBorder="1" applyAlignment="1" applyProtection="1">
      <alignment horizontal="center" vertical="center" wrapText="1"/>
      <protection hidden="1"/>
    </xf>
    <xf numFmtId="0" fontId="2" fillId="35" borderId="15" xfId="136" applyFont="1" applyFill="1" applyBorder="1" applyAlignment="1" applyProtection="1">
      <alignment horizontal="left" vertical="center" wrapText="1"/>
      <protection hidden="1"/>
    </xf>
    <xf numFmtId="0" fontId="184" fillId="35" borderId="15" xfId="136" applyFont="1" applyFill="1" applyBorder="1" applyAlignment="1" applyProtection="1">
      <alignment horizontal="center" vertical="top"/>
      <protection hidden="1"/>
    </xf>
    <xf numFmtId="1" fontId="2" fillId="35" borderId="12" xfId="136" applyNumberFormat="1" applyFill="1" applyBorder="1" applyAlignment="1" applyProtection="1">
      <alignment horizontal="right" vertical="top" indent="1"/>
      <protection hidden="1"/>
    </xf>
    <xf numFmtId="0" fontId="2" fillId="0" borderId="16" xfId="136" applyFill="1" applyBorder="1" applyAlignment="1" applyProtection="1">
      <alignment vertical="center"/>
      <protection hidden="1"/>
    </xf>
    <xf numFmtId="0" fontId="2" fillId="0" borderId="15" xfId="136" applyFill="1" applyBorder="1" applyAlignment="1" applyProtection="1">
      <alignment vertical="center"/>
      <protection hidden="1"/>
    </xf>
    <xf numFmtId="0" fontId="2" fillId="0" borderId="12" xfId="136" applyNumberFormat="1" applyFill="1" applyBorder="1" applyAlignment="1" applyProtection="1">
      <alignment horizontal="right" vertical="center" indent="1"/>
      <protection hidden="1"/>
    </xf>
    <xf numFmtId="0" fontId="2" fillId="0" borderId="12" xfId="136" applyFill="1" applyBorder="1" applyAlignment="1" applyProtection="1">
      <alignment horizontal="right" vertical="center" indent="1"/>
      <protection hidden="1"/>
    </xf>
    <xf numFmtId="0" fontId="2" fillId="0" borderId="16" xfId="136" applyFont="1" applyFill="1" applyBorder="1" applyAlignment="1" applyProtection="1">
      <alignment vertical="center" wrapText="1"/>
      <protection hidden="1"/>
    </xf>
    <xf numFmtId="0" fontId="2" fillId="0" borderId="15" xfId="136" applyFont="1" applyFill="1" applyBorder="1" applyAlignment="1" applyProtection="1">
      <alignment vertical="center" wrapText="1"/>
      <protection hidden="1"/>
    </xf>
    <xf numFmtId="0" fontId="2" fillId="0" borderId="25" xfId="136" applyFont="1" applyFill="1" applyBorder="1" applyAlignment="1" applyProtection="1">
      <alignment vertical="center" wrapText="1"/>
      <protection hidden="1"/>
    </xf>
    <xf numFmtId="0" fontId="117" fillId="35" borderId="16" xfId="136" applyFont="1" applyFill="1" applyBorder="1" applyAlignment="1" applyProtection="1">
      <alignment horizontal="right" vertical="center" wrapText="1"/>
      <protection hidden="1"/>
    </xf>
    <xf numFmtId="0" fontId="117" fillId="35" borderId="15" xfId="136" applyFont="1" applyFill="1" applyBorder="1" applyAlignment="1" applyProtection="1">
      <alignment horizontal="right" vertical="center" wrapText="1"/>
      <protection hidden="1"/>
    </xf>
    <xf numFmtId="0" fontId="117" fillId="35" borderId="25" xfId="136" applyFont="1" applyFill="1" applyBorder="1" applyAlignment="1" applyProtection="1">
      <alignment horizontal="right" vertical="center" wrapText="1"/>
      <protection hidden="1"/>
    </xf>
    <xf numFmtId="0" fontId="4" fillId="35" borderId="25" xfId="133" applyFont="1" applyFill="1" applyBorder="1" applyAlignment="1" applyProtection="1">
      <alignment vertical="center" shrinkToFit="1"/>
      <protection hidden="1"/>
    </xf>
    <xf numFmtId="0" fontId="2" fillId="0" borderId="15" xfId="133" applyFont="1" applyFill="1" applyBorder="1" applyAlignment="1" applyProtection="1">
      <alignment vertical="center" shrinkToFit="1"/>
      <protection hidden="1"/>
    </xf>
    <xf numFmtId="0" fontId="2" fillId="0" borderId="25" xfId="133" applyFont="1" applyFill="1" applyBorder="1" applyAlignment="1" applyProtection="1">
      <alignment vertical="center" shrinkToFit="1"/>
      <protection hidden="1"/>
    </xf>
    <xf numFmtId="0" fontId="2" fillId="0" borderId="16" xfId="136" applyFont="1" applyFill="1" applyBorder="1" applyAlignment="1" applyProtection="1">
      <alignment vertical="center"/>
      <protection hidden="1"/>
    </xf>
    <xf numFmtId="0" fontId="2" fillId="0" borderId="12" xfId="136" applyFill="1" applyBorder="1" applyAlignment="1" applyProtection="1">
      <alignment horizontal="center" vertical="center"/>
      <protection hidden="1"/>
    </xf>
    <xf numFmtId="0" fontId="2" fillId="35" borderId="29" xfId="136" applyFont="1" applyFill="1" applyBorder="1" applyAlignment="1" applyProtection="1">
      <alignment horizontal="left" vertical="center" shrinkToFit="1"/>
      <protection hidden="1"/>
    </xf>
    <xf numFmtId="0" fontId="2" fillId="35" borderId="17" xfId="136" applyFont="1" applyFill="1" applyBorder="1" applyAlignment="1" applyProtection="1">
      <alignment horizontal="left" vertical="center" shrinkToFit="1"/>
      <protection hidden="1"/>
    </xf>
    <xf numFmtId="0" fontId="2" fillId="35" borderId="18" xfId="136" applyFont="1" applyFill="1" applyBorder="1" applyAlignment="1" applyProtection="1">
      <alignment horizontal="left" vertical="center" shrinkToFit="1"/>
      <protection hidden="1"/>
    </xf>
    <xf numFmtId="0" fontId="26" fillId="35" borderId="30" xfId="136" applyFont="1" applyFill="1" applyBorder="1" applyAlignment="1" applyProtection="1">
      <alignment horizontal="center" vertical="center"/>
      <protection hidden="1"/>
    </xf>
    <xf numFmtId="0" fontId="26" fillId="35" borderId="31" xfId="136" applyFont="1" applyFill="1" applyBorder="1" applyAlignment="1" applyProtection="1">
      <alignment horizontal="center" vertical="center"/>
      <protection hidden="1"/>
    </xf>
    <xf numFmtId="0" fontId="2" fillId="35" borderId="31" xfId="136" applyFont="1" applyFill="1" applyBorder="1" applyAlignment="1" applyProtection="1">
      <alignment horizontal="center" vertical="center"/>
      <protection hidden="1"/>
    </xf>
    <xf numFmtId="0" fontId="26" fillId="35" borderId="30" xfId="136" applyNumberFormat="1" applyFont="1" applyFill="1" applyBorder="1" applyAlignment="1" applyProtection="1">
      <alignment horizontal="center" vertical="center"/>
      <protection hidden="1"/>
    </xf>
    <xf numFmtId="0" fontId="26" fillId="35" borderId="32" xfId="136" applyNumberFormat="1" applyFont="1" applyFill="1" applyBorder="1" applyAlignment="1" applyProtection="1">
      <alignment horizontal="center" vertical="center"/>
      <protection hidden="1"/>
    </xf>
    <xf numFmtId="0" fontId="2" fillId="35" borderId="29" xfId="136" applyNumberFormat="1" applyFont="1" applyFill="1" applyBorder="1" applyAlignment="1" applyProtection="1">
      <alignment horizontal="center" vertical="center"/>
      <protection hidden="1"/>
    </xf>
    <xf numFmtId="0" fontId="2" fillId="35" borderId="18" xfId="136" applyNumberFormat="1" applyFont="1" applyFill="1" applyBorder="1" applyAlignment="1" applyProtection="1">
      <alignment horizontal="center" vertical="center"/>
      <protection hidden="1"/>
    </xf>
    <xf numFmtId="0" fontId="2" fillId="35" borderId="12" xfId="136" applyFont="1" applyFill="1" applyBorder="1" applyAlignment="1" applyProtection="1">
      <alignment horizontal="right" vertical="top" indent="1"/>
      <protection hidden="1"/>
    </xf>
    <xf numFmtId="0" fontId="2" fillId="0" borderId="12" xfId="136" applyNumberFormat="1" applyFont="1" applyFill="1" applyBorder="1" applyAlignment="1" applyProtection="1">
      <alignment horizontal="right" vertical="center" indent="1"/>
      <protection hidden="1"/>
    </xf>
    <xf numFmtId="0" fontId="7" fillId="35" borderId="15" xfId="136" applyFont="1" applyFill="1" applyBorder="1" applyAlignment="1" applyProtection="1">
      <alignment vertical="center" wrapText="1"/>
      <protection hidden="1"/>
    </xf>
    <xf numFmtId="0" fontId="2" fillId="0" borderId="25" xfId="136" applyFont="1" applyFill="1" applyBorder="1" applyAlignment="1" applyProtection="1">
      <alignment vertical="center" shrinkToFit="1"/>
      <protection hidden="1"/>
    </xf>
    <xf numFmtId="0" fontId="2" fillId="0" borderId="26" xfId="136" applyFill="1" applyBorder="1" applyAlignment="1" applyProtection="1">
      <alignment horizontal="right" vertical="center" indent="1"/>
      <protection hidden="1"/>
    </xf>
    <xf numFmtId="1" fontId="2" fillId="0" borderId="16" xfId="136" applyNumberFormat="1" applyFont="1" applyFill="1" applyBorder="1" applyAlignment="1" applyProtection="1">
      <alignment horizontal="right" vertical="top" indent="1"/>
      <protection hidden="1"/>
    </xf>
    <xf numFmtId="1" fontId="2" fillId="0" borderId="15" xfId="136" applyNumberFormat="1" applyFont="1" applyFill="1" applyBorder="1" applyAlignment="1" applyProtection="1">
      <alignment horizontal="right" vertical="top" indent="1"/>
      <protection hidden="1"/>
    </xf>
    <xf numFmtId="1" fontId="2" fillId="0" borderId="25" xfId="136" applyNumberFormat="1" applyFont="1" applyFill="1" applyBorder="1" applyAlignment="1" applyProtection="1">
      <alignment horizontal="right" vertical="top" indent="1"/>
      <protection hidden="1"/>
    </xf>
    <xf numFmtId="0" fontId="2" fillId="0" borderId="16" xfId="136" applyFont="1" applyFill="1" applyBorder="1" applyAlignment="1" applyProtection="1">
      <alignment horizontal="right" vertical="top" indent="1"/>
      <protection hidden="1"/>
    </xf>
    <xf numFmtId="0" fontId="2" fillId="0" borderId="15" xfId="136" applyFont="1" applyFill="1" applyBorder="1" applyAlignment="1" applyProtection="1">
      <alignment horizontal="right" vertical="top" indent="1"/>
      <protection hidden="1"/>
    </xf>
    <xf numFmtId="0" fontId="2" fillId="0" borderId="25" xfId="136" applyFont="1" applyFill="1" applyBorder="1" applyAlignment="1" applyProtection="1">
      <alignment horizontal="right" vertical="top" indent="1"/>
      <protection hidden="1"/>
    </xf>
    <xf numFmtId="0" fontId="119" fillId="0" borderId="29" xfId="0" applyFont="1" applyBorder="1" applyAlignment="1">
      <alignment horizontal="left" vertical="center" shrinkToFit="1"/>
    </xf>
    <xf numFmtId="0" fontId="0" fillId="0" borderId="17" xfId="0" applyBorder="1" applyAlignment="1">
      <alignment horizontal="left" vertical="center" shrinkToFit="1"/>
    </xf>
    <xf numFmtId="0" fontId="0" fillId="0" borderId="18" xfId="0" applyBorder="1" applyAlignment="1">
      <alignment horizontal="left" vertical="center" shrinkToFit="1"/>
    </xf>
    <xf numFmtId="1" fontId="117" fillId="0" borderId="15" xfId="136" applyNumberFormat="1" applyFont="1" applyFill="1" applyBorder="1" applyAlignment="1" applyProtection="1">
      <alignment horizontal="right" vertical="top" indent="1"/>
      <protection hidden="1"/>
    </xf>
    <xf numFmtId="1" fontId="117" fillId="0" borderId="25" xfId="136" applyNumberFormat="1" applyFont="1" applyFill="1" applyBorder="1" applyAlignment="1" applyProtection="1">
      <alignment horizontal="right" vertical="top" indent="1"/>
      <protection hidden="1"/>
    </xf>
    <xf numFmtId="1" fontId="2" fillId="35" borderId="0" xfId="136" applyNumberFormat="1" applyFont="1" applyFill="1" applyBorder="1" applyAlignment="1" applyProtection="1">
      <alignment vertical="center"/>
      <protection hidden="1"/>
    </xf>
    <xf numFmtId="0" fontId="2" fillId="35" borderId="0" xfId="136" applyFont="1" applyFill="1" applyBorder="1" applyAlignment="1" applyProtection="1">
      <alignment vertical="center"/>
      <protection hidden="1"/>
    </xf>
    <xf numFmtId="1" fontId="3" fillId="0" borderId="16" xfId="136" applyNumberFormat="1" applyFont="1" applyFill="1" applyBorder="1" applyAlignment="1" applyProtection="1">
      <alignment horizontal="right" vertical="top" indent="1"/>
      <protection hidden="1"/>
    </xf>
    <xf numFmtId="1" fontId="3" fillId="0" borderId="15" xfId="136" applyNumberFormat="1" applyFont="1" applyFill="1" applyBorder="1" applyAlignment="1" applyProtection="1">
      <alignment horizontal="right" vertical="top" indent="1"/>
      <protection hidden="1"/>
    </xf>
    <xf numFmtId="1" fontId="3" fillId="0" borderId="25" xfId="136" applyNumberFormat="1" applyFont="1" applyFill="1" applyBorder="1" applyAlignment="1" applyProtection="1">
      <alignment horizontal="right" vertical="top" indent="1"/>
      <protection hidden="1"/>
    </xf>
    <xf numFmtId="1" fontId="2" fillId="35" borderId="16" xfId="136" applyNumberFormat="1" applyFill="1" applyBorder="1" applyAlignment="1" applyProtection="1">
      <alignment horizontal="right" vertical="top" indent="1"/>
      <protection hidden="1"/>
    </xf>
    <xf numFmtId="1" fontId="2" fillId="35" borderId="15" xfId="136" applyNumberFormat="1" applyFill="1" applyBorder="1" applyAlignment="1" applyProtection="1">
      <alignment horizontal="right" vertical="top" indent="1"/>
      <protection hidden="1"/>
    </xf>
    <xf numFmtId="1" fontId="2" fillId="35" borderId="25" xfId="136" applyNumberFormat="1" applyFill="1" applyBorder="1" applyAlignment="1" applyProtection="1">
      <alignment horizontal="right" vertical="top" indent="1"/>
      <protection hidden="1"/>
    </xf>
    <xf numFmtId="0" fontId="3" fillId="35" borderId="15" xfId="136" applyFont="1" applyFill="1" applyBorder="1" applyAlignment="1" applyProtection="1">
      <alignment horizontal="center" vertical="center"/>
      <protection hidden="1"/>
    </xf>
    <xf numFmtId="0" fontId="3" fillId="35" borderId="25" xfId="136" applyFont="1" applyFill="1" applyBorder="1" applyAlignment="1" applyProtection="1">
      <alignment horizontal="center" vertical="center"/>
      <protection hidden="1"/>
    </xf>
    <xf numFmtId="1" fontId="6" fillId="35" borderId="62" xfId="136" applyNumberFormat="1" applyFont="1" applyFill="1" applyBorder="1" applyAlignment="1" applyProtection="1">
      <alignment vertical="center"/>
      <protection hidden="1"/>
    </xf>
    <xf numFmtId="0" fontId="6" fillId="35" borderId="62" xfId="136" applyFont="1" applyFill="1" applyBorder="1" applyAlignment="1" applyProtection="1">
      <alignment vertical="center"/>
      <protection hidden="1"/>
    </xf>
    <xf numFmtId="1" fontId="6" fillId="35" borderId="55" xfId="136" applyNumberFormat="1" applyFont="1" applyFill="1" applyBorder="1" applyAlignment="1" applyProtection="1">
      <alignment vertical="center"/>
      <protection hidden="1"/>
    </xf>
    <xf numFmtId="0" fontId="6" fillId="35" borderId="55" xfId="136" applyFont="1" applyFill="1" applyBorder="1" applyAlignment="1" applyProtection="1">
      <alignment vertical="center"/>
      <protection hidden="1"/>
    </xf>
    <xf numFmtId="0" fontId="4" fillId="35" borderId="15" xfId="136" applyFont="1" applyFill="1" applyBorder="1" applyAlignment="1" applyProtection="1">
      <alignment vertical="center"/>
      <protection hidden="1"/>
    </xf>
    <xf numFmtId="0" fontId="6" fillId="35" borderId="15" xfId="136" applyFont="1" applyFill="1" applyBorder="1" applyAlignment="1" applyProtection="1">
      <alignment horizontal="center" vertical="center"/>
      <protection hidden="1"/>
    </xf>
    <xf numFmtId="0" fontId="6" fillId="35" borderId="25" xfId="136" applyFont="1" applyFill="1" applyBorder="1" applyAlignment="1" applyProtection="1">
      <alignment horizontal="center" vertical="center"/>
      <protection hidden="1"/>
    </xf>
    <xf numFmtId="0" fontId="26" fillId="0" borderId="15" xfId="136" applyFont="1" applyFill="1" applyBorder="1" applyAlignment="1" applyProtection="1">
      <alignment vertical="center"/>
      <protection hidden="1"/>
    </xf>
    <xf numFmtId="0" fontId="26" fillId="35" borderId="15" xfId="136" applyFont="1" applyFill="1" applyBorder="1" applyAlignment="1" applyProtection="1">
      <alignment vertical="center"/>
      <protection hidden="1"/>
    </xf>
    <xf numFmtId="0" fontId="3" fillId="35" borderId="16" xfId="136" applyFont="1" applyFill="1" applyBorder="1" applyAlignment="1" applyProtection="1">
      <alignment vertical="center"/>
      <protection hidden="1"/>
    </xf>
    <xf numFmtId="0" fontId="3" fillId="35" borderId="15" xfId="136" applyFont="1" applyFill="1" applyBorder="1" applyAlignment="1" applyProtection="1">
      <alignment vertical="center"/>
      <protection hidden="1"/>
    </xf>
    <xf numFmtId="169" fontId="2" fillId="35" borderId="15" xfId="136" applyNumberFormat="1" applyFont="1" applyFill="1" applyBorder="1" applyAlignment="1" applyProtection="1">
      <alignment horizontal="left" vertical="center"/>
      <protection hidden="1"/>
    </xf>
    <xf numFmtId="1" fontId="117" fillId="0" borderId="16" xfId="136" applyNumberFormat="1" applyFont="1" applyFill="1" applyBorder="1" applyAlignment="1" applyProtection="1">
      <alignment horizontal="right" vertical="top" indent="1"/>
      <protection hidden="1"/>
    </xf>
    <xf numFmtId="0" fontId="7" fillId="35" borderId="31" xfId="136" applyFont="1" applyFill="1" applyBorder="1" applyAlignment="1" applyProtection="1">
      <alignment horizontal="center" vertical="center"/>
      <protection hidden="1"/>
    </xf>
    <xf numFmtId="1" fontId="2" fillId="35" borderId="31" xfId="136" applyNumberFormat="1" applyFill="1" applyBorder="1" applyAlignment="1" applyProtection="1">
      <alignment vertical="top"/>
      <protection hidden="1"/>
    </xf>
    <xf numFmtId="0" fontId="2" fillId="35" borderId="0" xfId="136" applyFont="1" applyFill="1" applyBorder="1" applyAlignment="1" applyProtection="1">
      <alignment vertical="center" shrinkToFit="1"/>
      <protection hidden="1"/>
    </xf>
    <xf numFmtId="0" fontId="2" fillId="35" borderId="0" xfId="136" applyFont="1" applyFill="1" applyAlignment="1" applyProtection="1">
      <alignment vertical="center"/>
      <protection hidden="1"/>
    </xf>
    <xf numFmtId="14" fontId="2" fillId="35" borderId="0" xfId="136" applyNumberFormat="1" applyFont="1" applyFill="1" applyAlignment="1" applyProtection="1">
      <alignment horizontal="left" vertical="center"/>
      <protection hidden="1"/>
    </xf>
    <xf numFmtId="0" fontId="2" fillId="35" borderId="0" xfId="136" applyFill="1" applyBorder="1" applyAlignment="1" applyProtection="1">
      <alignment vertical="center"/>
      <protection hidden="1"/>
    </xf>
    <xf numFmtId="169" fontId="3" fillId="35" borderId="15" xfId="136" applyNumberFormat="1" applyFont="1" applyFill="1" applyBorder="1" applyAlignment="1" applyProtection="1">
      <alignment horizontal="left" vertical="center"/>
      <protection hidden="1"/>
    </xf>
    <xf numFmtId="0" fontId="2" fillId="35" borderId="16" xfId="136" applyFont="1" applyFill="1" applyBorder="1" applyAlignment="1" applyProtection="1">
      <alignment vertical="center"/>
      <protection hidden="1"/>
    </xf>
    <xf numFmtId="0" fontId="2" fillId="35" borderId="15" xfId="136" applyFill="1" applyBorder="1" applyAlignment="1" applyProtection="1">
      <alignment vertical="center"/>
      <protection hidden="1"/>
    </xf>
    <xf numFmtId="0" fontId="2" fillId="35" borderId="25" xfId="136" applyFill="1" applyBorder="1" applyAlignment="1" applyProtection="1">
      <alignment vertical="center"/>
      <protection hidden="1"/>
    </xf>
    <xf numFmtId="1" fontId="6" fillId="35" borderId="0" xfId="136" applyNumberFormat="1" applyFont="1" applyFill="1" applyBorder="1" applyAlignment="1" applyProtection="1">
      <alignment vertical="center"/>
      <protection hidden="1"/>
    </xf>
    <xf numFmtId="0" fontId="6" fillId="35" borderId="0" xfId="136" applyFont="1" applyFill="1" applyBorder="1" applyAlignment="1" applyProtection="1">
      <alignment vertical="center"/>
      <protection hidden="1"/>
    </xf>
    <xf numFmtId="0" fontId="14" fillId="0" borderId="15" xfId="132" applyFont="1" applyFill="1" applyBorder="1" applyAlignment="1" applyProtection="1">
      <alignment horizontal="center" vertical="center" shrinkToFit="1"/>
      <protection locked="0"/>
    </xf>
    <xf numFmtId="14" fontId="14" fillId="0" borderId="15" xfId="132" applyNumberFormat="1" applyFont="1" applyFill="1" applyBorder="1" applyAlignment="1" applyProtection="1">
      <alignment horizontal="center" vertical="center" shrinkToFit="1"/>
      <protection locked="0"/>
    </xf>
    <xf numFmtId="0" fontId="14" fillId="0" borderId="25" xfId="132" applyFont="1" applyFill="1" applyBorder="1" applyAlignment="1" applyProtection="1">
      <alignment horizontal="center" vertical="center" shrinkToFit="1"/>
      <protection locked="0"/>
    </xf>
    <xf numFmtId="0" fontId="14" fillId="0" borderId="16" xfId="132" applyFont="1" applyFill="1" applyBorder="1" applyAlignment="1" applyProtection="1">
      <alignment horizontal="right" vertical="center" indent="1" shrinkToFit="1"/>
      <protection locked="0"/>
    </xf>
    <xf numFmtId="0" fontId="14" fillId="0" borderId="15" xfId="132" applyFont="1" applyFill="1" applyBorder="1" applyAlignment="1" applyProtection="1">
      <alignment horizontal="right" vertical="center" indent="1" shrinkToFit="1"/>
      <protection locked="0"/>
    </xf>
    <xf numFmtId="0" fontId="14" fillId="0" borderId="25" xfId="132" applyFont="1" applyFill="1" applyBorder="1" applyAlignment="1" applyProtection="1">
      <alignment horizontal="right" vertical="center" indent="1" shrinkToFit="1"/>
      <protection locked="0"/>
    </xf>
    <xf numFmtId="1" fontId="184" fillId="0" borderId="17" xfId="136" applyNumberFormat="1" applyFont="1" applyFill="1" applyBorder="1" applyAlignment="1" applyProtection="1">
      <alignment horizontal="right" vertical="top" indent="1"/>
      <protection hidden="1"/>
    </xf>
    <xf numFmtId="0" fontId="2" fillId="35" borderId="16" xfId="136" applyFont="1" applyFill="1" applyBorder="1" applyAlignment="1" applyProtection="1">
      <alignment horizontal="center" vertical="top"/>
      <protection hidden="1"/>
    </xf>
    <xf numFmtId="0" fontId="2" fillId="35" borderId="15" xfId="136" applyFill="1" applyBorder="1" applyAlignment="1" applyProtection="1">
      <alignment horizontal="center" vertical="top"/>
      <protection hidden="1"/>
    </xf>
    <xf numFmtId="0" fontId="2" fillId="35" borderId="25" xfId="136" applyFill="1" applyBorder="1" applyAlignment="1" applyProtection="1">
      <alignment horizontal="center" vertical="top"/>
      <protection hidden="1"/>
    </xf>
    <xf numFmtId="0" fontId="2" fillId="35" borderId="12" xfId="136" applyFont="1" applyFill="1" applyBorder="1" applyAlignment="1" applyProtection="1">
      <alignment horizontal="center" vertical="center"/>
      <protection hidden="1"/>
    </xf>
    <xf numFmtId="0" fontId="2" fillId="35" borderId="12" xfId="136" applyFill="1" applyBorder="1" applyAlignment="1" applyProtection="1">
      <alignment horizontal="center" vertical="center"/>
      <protection hidden="1"/>
    </xf>
    <xf numFmtId="0" fontId="2" fillId="35" borderId="29" xfId="136" applyFont="1" applyFill="1" applyBorder="1" applyAlignment="1" applyProtection="1">
      <alignment horizontal="center" vertical="center"/>
      <protection hidden="1"/>
    </xf>
    <xf numFmtId="0" fontId="2" fillId="35" borderId="18" xfId="136" applyFont="1" applyFill="1" applyBorder="1" applyAlignment="1" applyProtection="1">
      <alignment horizontal="center" vertical="center"/>
      <protection hidden="1"/>
    </xf>
    <xf numFmtId="0" fontId="166" fillId="35" borderId="0" xfId="0" applyFont="1" applyFill="1" applyAlignment="1">
      <alignment horizontal="center"/>
    </xf>
    <xf numFmtId="0" fontId="167" fillId="35" borderId="0" xfId="0" applyFont="1" applyFill="1" applyBorder="1" applyAlignment="1" applyProtection="1">
      <alignment horizontal="center" vertical="center" wrapText="1"/>
      <protection hidden="1"/>
    </xf>
    <xf numFmtId="0" fontId="2" fillId="35" borderId="16" xfId="136" applyFill="1" applyBorder="1" applyAlignment="1" applyProtection="1">
      <alignment horizontal="center" vertical="center"/>
      <protection hidden="1"/>
    </xf>
    <xf numFmtId="0" fontId="2" fillId="0" borderId="28" xfId="136" applyNumberFormat="1" applyFill="1" applyBorder="1" applyAlignment="1" applyProtection="1">
      <alignment horizontal="right" vertical="center" indent="1"/>
      <protection hidden="1"/>
    </xf>
    <xf numFmtId="0" fontId="2" fillId="35" borderId="12" xfId="136" applyFont="1" applyFill="1" applyBorder="1" applyAlignment="1" applyProtection="1">
      <alignment horizontal="left" vertical="center"/>
      <protection hidden="1"/>
    </xf>
    <xf numFmtId="0" fontId="2" fillId="35" borderId="12" xfId="136" applyFill="1" applyBorder="1" applyAlignment="1" applyProtection="1">
      <alignment horizontal="left" vertical="center"/>
      <protection hidden="1"/>
    </xf>
    <xf numFmtId="0" fontId="3" fillId="0" borderId="16" xfId="136" applyNumberFormat="1" applyFont="1" applyFill="1" applyBorder="1" applyAlignment="1" applyProtection="1">
      <alignment horizontal="right" vertical="center" indent="1"/>
      <protection hidden="1"/>
    </xf>
    <xf numFmtId="0" fontId="3" fillId="0" borderId="15" xfId="136" applyNumberFormat="1" applyFont="1" applyFill="1" applyBorder="1" applyAlignment="1" applyProtection="1">
      <alignment horizontal="right" vertical="center" indent="1"/>
      <protection hidden="1"/>
    </xf>
    <xf numFmtId="0" fontId="3" fillId="0" borderId="25" xfId="136" applyNumberFormat="1" applyFont="1" applyFill="1" applyBorder="1" applyAlignment="1" applyProtection="1">
      <alignment horizontal="right" vertical="center" indent="1"/>
      <protection hidden="1"/>
    </xf>
    <xf numFmtId="0" fontId="26" fillId="0" borderId="15" xfId="136" applyNumberFormat="1" applyFont="1" applyFill="1" applyBorder="1" applyAlignment="1" applyProtection="1">
      <alignment horizontal="right" vertical="center" indent="1"/>
      <protection hidden="1"/>
    </xf>
    <xf numFmtId="0" fontId="2" fillId="35" borderId="16" xfId="136" applyFont="1" applyFill="1" applyBorder="1" applyAlignment="1" applyProtection="1">
      <alignment vertical="top"/>
      <protection hidden="1"/>
    </xf>
    <xf numFmtId="0" fontId="2" fillId="0" borderId="26" xfId="136" applyFont="1" applyFill="1" applyBorder="1" applyAlignment="1" applyProtection="1">
      <alignment horizontal="right" vertical="center" indent="1"/>
      <protection hidden="1"/>
    </xf>
    <xf numFmtId="0" fontId="2" fillId="0" borderId="15" xfId="136" applyFont="1" applyFill="1" applyBorder="1" applyAlignment="1" applyProtection="1">
      <alignment vertical="center"/>
      <protection hidden="1"/>
    </xf>
    <xf numFmtId="0" fontId="2" fillId="0" borderId="15" xfId="136" applyNumberFormat="1" applyFont="1" applyFill="1" applyBorder="1" applyAlignment="1" applyProtection="1">
      <alignment horizontal="right" vertical="center"/>
      <protection hidden="1"/>
    </xf>
    <xf numFmtId="0" fontId="2" fillId="0" borderId="25" xfId="136" applyNumberFormat="1" applyFont="1" applyFill="1" applyBorder="1" applyAlignment="1" applyProtection="1">
      <alignment horizontal="right" vertical="center"/>
      <protection hidden="1"/>
    </xf>
    <xf numFmtId="0" fontId="3" fillId="0" borderId="28" xfId="136" applyFont="1" applyFill="1" applyBorder="1" applyAlignment="1" applyProtection="1">
      <alignment horizontal="right" vertical="center" indent="1"/>
      <protection hidden="1"/>
    </xf>
    <xf numFmtId="0" fontId="2" fillId="0" borderId="12" xfId="136" applyFont="1" applyFill="1" applyBorder="1" applyAlignment="1" applyProtection="1">
      <alignment horizontal="right" vertical="center" indent="1"/>
      <protection hidden="1"/>
    </xf>
    <xf numFmtId="0" fontId="2" fillId="0" borderId="30" xfId="136" applyNumberFormat="1" applyFill="1" applyBorder="1" applyAlignment="1" applyProtection="1">
      <alignment horizontal="right" vertical="center" indent="1"/>
      <protection hidden="1"/>
    </xf>
    <xf numFmtId="0" fontId="2" fillId="0" borderId="31" xfId="136" applyNumberFormat="1" applyFill="1" applyBorder="1" applyAlignment="1" applyProtection="1">
      <alignment horizontal="right" vertical="center" indent="1"/>
      <protection hidden="1"/>
    </xf>
    <xf numFmtId="0" fontId="2" fillId="0" borderId="32" xfId="136" applyNumberFormat="1" applyFill="1" applyBorder="1" applyAlignment="1" applyProtection="1">
      <alignment horizontal="right" vertical="center" indent="1"/>
      <protection hidden="1"/>
    </xf>
    <xf numFmtId="0" fontId="3" fillId="0" borderId="12" xfId="136" applyNumberFormat="1" applyFont="1" applyFill="1" applyBorder="1" applyAlignment="1" applyProtection="1">
      <alignment horizontal="right" vertical="center" indent="1"/>
      <protection hidden="1"/>
    </xf>
    <xf numFmtId="0" fontId="2" fillId="0" borderId="15" xfId="136" applyFill="1" applyBorder="1" applyAlignment="1" applyProtection="1">
      <alignment vertical="center" wrapText="1"/>
      <protection hidden="1"/>
    </xf>
    <xf numFmtId="0" fontId="19" fillId="0" borderId="16" xfId="136" applyFont="1" applyFill="1" applyBorder="1" applyAlignment="1" applyProtection="1">
      <alignment vertical="center" shrinkToFit="1"/>
      <protection locked="0"/>
    </xf>
    <xf numFmtId="0" fontId="100" fillId="0" borderId="15" xfId="0" applyFont="1" applyFill="1" applyBorder="1" applyAlignment="1">
      <alignment vertical="center" shrinkToFit="1"/>
    </xf>
    <xf numFmtId="0" fontId="100" fillId="0" borderId="25" xfId="0" applyFont="1" applyFill="1" applyBorder="1" applyAlignment="1">
      <alignment vertical="center" shrinkToFit="1"/>
    </xf>
    <xf numFmtId="0" fontId="2" fillId="0" borderId="16" xfId="136" applyFill="1" applyBorder="1" applyAlignment="1" applyProtection="1">
      <alignment vertical="center" wrapText="1"/>
      <protection hidden="1"/>
    </xf>
    <xf numFmtId="0" fontId="2" fillId="0" borderId="16" xfId="136" applyNumberFormat="1" applyFill="1" applyBorder="1" applyAlignment="1" applyProtection="1">
      <alignment horizontal="right" vertical="center" indent="1"/>
      <protection hidden="1"/>
    </xf>
    <xf numFmtId="0" fontId="2" fillId="0" borderId="15" xfId="136" applyNumberFormat="1" applyFill="1" applyBorder="1" applyAlignment="1" applyProtection="1">
      <alignment horizontal="right" vertical="center" indent="1"/>
      <protection hidden="1"/>
    </xf>
    <xf numFmtId="0" fontId="2" fillId="0" borderId="25" xfId="136" applyNumberFormat="1" applyFill="1" applyBorder="1" applyAlignment="1" applyProtection="1">
      <alignment horizontal="right" vertical="center" indent="1"/>
      <protection hidden="1"/>
    </xf>
    <xf numFmtId="0" fontId="2" fillId="35" borderId="16" xfId="136" applyFont="1" applyFill="1" applyBorder="1" applyAlignment="1" applyProtection="1">
      <alignment vertical="top" wrapText="1"/>
      <protection hidden="1"/>
    </xf>
    <xf numFmtId="0" fontId="2" fillId="35" borderId="15" xfId="136" applyFont="1" applyFill="1" applyBorder="1" applyAlignment="1" applyProtection="1">
      <alignment vertical="top" wrapText="1"/>
      <protection hidden="1"/>
    </xf>
    <xf numFmtId="0" fontId="2" fillId="0" borderId="12" xfId="136" applyFill="1" applyBorder="1" applyAlignment="1" applyProtection="1">
      <alignment horizontal="right" vertical="top" indent="1"/>
      <protection hidden="1"/>
    </xf>
    <xf numFmtId="0" fontId="2" fillId="0" borderId="16" xfId="136" applyFill="1" applyBorder="1" applyAlignment="1" applyProtection="1">
      <alignment vertical="top" wrapText="1"/>
      <protection hidden="1"/>
    </xf>
    <xf numFmtId="0" fontId="2" fillId="0" borderId="15" xfId="136" applyFill="1" applyBorder="1" applyAlignment="1" applyProtection="1">
      <alignment vertical="top" wrapText="1"/>
      <protection hidden="1"/>
    </xf>
    <xf numFmtId="0" fontId="2" fillId="0" borderId="25" xfId="136" applyFill="1" applyBorder="1" applyAlignment="1" applyProtection="1">
      <alignment vertical="top" wrapText="1"/>
      <protection hidden="1"/>
    </xf>
    <xf numFmtId="0" fontId="2" fillId="35" borderId="29" xfId="136" applyFill="1" applyBorder="1" applyAlignment="1" applyProtection="1">
      <alignment horizontal="right" vertical="center"/>
      <protection hidden="1"/>
    </xf>
    <xf numFmtId="0" fontId="2" fillId="35" borderId="17" xfId="136" applyFill="1" applyBorder="1" applyAlignment="1" applyProtection="1">
      <alignment horizontal="right" vertical="center"/>
      <protection hidden="1"/>
    </xf>
    <xf numFmtId="0" fontId="2" fillId="35" borderId="18" xfId="136" applyFill="1" applyBorder="1" applyAlignment="1" applyProtection="1">
      <alignment horizontal="right" vertical="center"/>
      <protection hidden="1"/>
    </xf>
    <xf numFmtId="0" fontId="2" fillId="35" borderId="33" xfId="136" applyFill="1" applyBorder="1" applyAlignment="1" applyProtection="1">
      <alignment horizontal="right" vertical="center"/>
      <protection hidden="1"/>
    </xf>
    <xf numFmtId="0" fontId="2" fillId="35" borderId="0" xfId="136" applyFill="1" applyBorder="1" applyAlignment="1" applyProtection="1">
      <alignment horizontal="right" vertical="center"/>
      <protection hidden="1"/>
    </xf>
    <xf numFmtId="0" fontId="2" fillId="35" borderId="19" xfId="136" applyFill="1" applyBorder="1" applyAlignment="1" applyProtection="1">
      <alignment horizontal="right" vertical="center"/>
      <protection hidden="1"/>
    </xf>
    <xf numFmtId="0" fontId="2" fillId="0" borderId="16" xfId="136" applyFont="1" applyFill="1" applyBorder="1" applyAlignment="1" applyProtection="1">
      <alignment vertical="top"/>
      <protection hidden="1"/>
    </xf>
    <xf numFmtId="0" fontId="2" fillId="0" borderId="15" xfId="136" applyFill="1" applyBorder="1" applyAlignment="1" applyProtection="1">
      <alignment vertical="top"/>
      <protection hidden="1"/>
    </xf>
    <xf numFmtId="0" fontId="2" fillId="0" borderId="25" xfId="136" applyFill="1" applyBorder="1" applyAlignment="1" applyProtection="1">
      <alignment vertical="top"/>
      <protection hidden="1"/>
    </xf>
    <xf numFmtId="0" fontId="2" fillId="0" borderId="16" xfId="136" applyFill="1" applyBorder="1" applyAlignment="1" applyProtection="1">
      <alignment horizontal="left" vertical="center"/>
      <protection hidden="1"/>
    </xf>
    <xf numFmtId="0" fontId="2" fillId="0" borderId="15" xfId="136" applyFill="1" applyBorder="1" applyAlignment="1" applyProtection="1">
      <alignment horizontal="left" vertical="center"/>
      <protection hidden="1"/>
    </xf>
    <xf numFmtId="0" fontId="2" fillId="0" borderId="25" xfId="136" applyFill="1" applyBorder="1" applyAlignment="1" applyProtection="1">
      <alignment horizontal="left" vertical="center"/>
      <protection hidden="1"/>
    </xf>
    <xf numFmtId="0" fontId="2" fillId="35" borderId="16" xfId="136" applyFont="1" applyFill="1" applyBorder="1" applyAlignment="1" applyProtection="1">
      <alignment vertical="top" shrinkToFit="1"/>
      <protection hidden="1"/>
    </xf>
    <xf numFmtId="0" fontId="2" fillId="35" borderId="15" xfId="136" applyFont="1" applyFill="1" applyBorder="1" applyAlignment="1" applyProtection="1">
      <alignment vertical="top" shrinkToFit="1"/>
      <protection hidden="1"/>
    </xf>
    <xf numFmtId="0" fontId="2" fillId="35" borderId="25" xfId="136" applyFont="1" applyFill="1" applyBorder="1" applyAlignment="1" applyProtection="1">
      <alignment vertical="top" shrinkToFit="1"/>
      <protection hidden="1"/>
    </xf>
    <xf numFmtId="0" fontId="2" fillId="0" borderId="16" xfId="136" applyFill="1" applyBorder="1" applyAlignment="1" applyProtection="1">
      <alignment horizontal="right" vertical="top" indent="1"/>
      <protection hidden="1"/>
    </xf>
    <xf numFmtId="0" fontId="2" fillId="0" borderId="15" xfId="136" applyFill="1" applyBorder="1" applyAlignment="1" applyProtection="1">
      <alignment horizontal="right" vertical="top" indent="1"/>
      <protection hidden="1"/>
    </xf>
    <xf numFmtId="0" fontId="2" fillId="0" borderId="25" xfId="136" applyFill="1" applyBorder="1" applyAlignment="1" applyProtection="1">
      <alignment horizontal="right" vertical="top" indent="1"/>
      <protection hidden="1"/>
    </xf>
    <xf numFmtId="0" fontId="2" fillId="35" borderId="16" xfId="136" applyFill="1" applyBorder="1" applyAlignment="1" applyProtection="1">
      <alignment vertical="top" wrapText="1"/>
      <protection hidden="1"/>
    </xf>
    <xf numFmtId="0" fontId="2" fillId="35" borderId="15" xfId="136" applyFill="1" applyBorder="1" applyAlignment="1" applyProtection="1">
      <alignment vertical="top" wrapText="1"/>
      <protection hidden="1"/>
    </xf>
    <xf numFmtId="0" fontId="2" fillId="35" borderId="25" xfId="136" applyFill="1" applyBorder="1" applyAlignment="1" applyProtection="1">
      <alignment vertical="top" wrapText="1"/>
      <protection hidden="1"/>
    </xf>
    <xf numFmtId="0" fontId="2" fillId="35" borderId="12" xfId="136" applyFill="1" applyBorder="1" applyAlignment="1" applyProtection="1">
      <alignment horizontal="center" vertical="top"/>
      <protection hidden="1"/>
    </xf>
    <xf numFmtId="0" fontId="2" fillId="35" borderId="29" xfId="136" applyFill="1" applyBorder="1" applyAlignment="1" applyProtection="1">
      <alignment horizontal="right" vertical="center" indent="1"/>
      <protection hidden="1"/>
    </xf>
    <xf numFmtId="0" fontId="2" fillId="35" borderId="17" xfId="136" applyFill="1" applyBorder="1" applyAlignment="1" applyProtection="1">
      <alignment horizontal="right" vertical="center" indent="1"/>
      <protection hidden="1"/>
    </xf>
    <xf numFmtId="0" fontId="2" fillId="35" borderId="18" xfId="136" applyFill="1" applyBorder="1" applyAlignment="1" applyProtection="1">
      <alignment horizontal="right" vertical="center" indent="1"/>
      <protection hidden="1"/>
    </xf>
    <xf numFmtId="0" fontId="2" fillId="35" borderId="30" xfId="136" applyFill="1" applyBorder="1" applyAlignment="1" applyProtection="1">
      <alignment horizontal="right" vertical="center" indent="1"/>
      <protection hidden="1"/>
    </xf>
    <xf numFmtId="0" fontId="2" fillId="35" borderId="31" xfId="136" applyFill="1" applyBorder="1" applyAlignment="1" applyProtection="1">
      <alignment horizontal="right" vertical="center" indent="1"/>
      <protection hidden="1"/>
    </xf>
    <xf numFmtId="0" fontId="2" fillId="35" borderId="32" xfId="136" applyFill="1" applyBorder="1" applyAlignment="1" applyProtection="1">
      <alignment horizontal="right" vertical="center" indent="1"/>
      <protection hidden="1"/>
    </xf>
    <xf numFmtId="0" fontId="2" fillId="0" borderId="16" xfId="136" applyFont="1" applyFill="1" applyBorder="1" applyAlignment="1" applyProtection="1">
      <alignment horizontal="right" vertical="center"/>
      <protection hidden="1"/>
    </xf>
    <xf numFmtId="0" fontId="2" fillId="0" borderId="15" xfId="136" applyFont="1" applyFill="1" applyBorder="1" applyAlignment="1" applyProtection="1">
      <alignment horizontal="right" vertical="center"/>
      <protection hidden="1"/>
    </xf>
    <xf numFmtId="0" fontId="2" fillId="0" borderId="25" xfId="136" applyFont="1" applyFill="1" applyBorder="1" applyAlignment="1" applyProtection="1">
      <alignment horizontal="right" vertical="center"/>
      <protection hidden="1"/>
    </xf>
    <xf numFmtId="0" fontId="26" fillId="0" borderId="33" xfId="136" applyFont="1" applyFill="1" applyBorder="1" applyAlignment="1" applyProtection="1">
      <alignment horizontal="right" vertical="top"/>
      <protection hidden="1"/>
    </xf>
    <xf numFmtId="0" fontId="26" fillId="0" borderId="0" xfId="136" applyFont="1" applyFill="1" applyBorder="1" applyAlignment="1" applyProtection="1">
      <alignment horizontal="right" vertical="top"/>
      <protection hidden="1"/>
    </xf>
    <xf numFmtId="0" fontId="26" fillId="0" borderId="19" xfId="136" applyFont="1" applyFill="1" applyBorder="1" applyAlignment="1" applyProtection="1">
      <alignment horizontal="right" vertical="top"/>
      <protection hidden="1"/>
    </xf>
    <xf numFmtId="0" fontId="2" fillId="36" borderId="16" xfId="136" applyFill="1" applyBorder="1" applyAlignment="1" applyProtection="1">
      <alignment horizontal="right" vertical="top" indent="1"/>
      <protection hidden="1"/>
    </xf>
    <xf numFmtId="0" fontId="2" fillId="36" borderId="15" xfId="136" applyFill="1" applyBorder="1" applyAlignment="1" applyProtection="1">
      <alignment horizontal="right" vertical="top" indent="1"/>
      <protection hidden="1"/>
    </xf>
    <xf numFmtId="0" fontId="2" fillId="36" borderId="25" xfId="136" applyFill="1" applyBorder="1" applyAlignment="1" applyProtection="1">
      <alignment horizontal="right" vertical="top" indent="1"/>
      <protection hidden="1"/>
    </xf>
    <xf numFmtId="0" fontId="26" fillId="0" borderId="30" xfId="136" applyFont="1" applyFill="1" applyBorder="1" applyAlignment="1" applyProtection="1">
      <alignment horizontal="right" vertical="top"/>
      <protection hidden="1"/>
    </xf>
    <xf numFmtId="0" fontId="26" fillId="0" borderId="31" xfId="136" applyFont="1" applyFill="1" applyBorder="1" applyAlignment="1" applyProtection="1">
      <alignment horizontal="right" vertical="top"/>
      <protection hidden="1"/>
    </xf>
    <xf numFmtId="0" fontId="26" fillId="0" borderId="32" xfId="136" applyFont="1" applyFill="1" applyBorder="1" applyAlignment="1" applyProtection="1">
      <alignment horizontal="right" vertical="top"/>
      <protection hidden="1"/>
    </xf>
    <xf numFmtId="0" fontId="2" fillId="35" borderId="15" xfId="136" applyFill="1" applyBorder="1" applyAlignment="1" applyProtection="1">
      <alignment horizontal="right" vertical="top" indent="1"/>
      <protection hidden="1"/>
    </xf>
    <xf numFmtId="0" fontId="2" fillId="35" borderId="25" xfId="136" applyFill="1" applyBorder="1" applyAlignment="1" applyProtection="1">
      <alignment horizontal="right" vertical="top" indent="1"/>
      <protection hidden="1"/>
    </xf>
    <xf numFmtId="0" fontId="3" fillId="0" borderId="16" xfId="136" applyFont="1" applyFill="1" applyBorder="1" applyAlignment="1" applyProtection="1">
      <alignment horizontal="right" vertical="top" indent="1"/>
      <protection hidden="1"/>
    </xf>
    <xf numFmtId="0" fontId="3" fillId="0" borderId="15" xfId="136" applyFont="1" applyFill="1" applyBorder="1" applyAlignment="1" applyProtection="1">
      <alignment horizontal="right" vertical="top" indent="1"/>
      <protection hidden="1"/>
    </xf>
    <xf numFmtId="0" fontId="3" fillId="0" borderId="25" xfId="136" applyFont="1" applyFill="1" applyBorder="1" applyAlignment="1" applyProtection="1">
      <alignment horizontal="right" vertical="top" indent="1"/>
      <protection hidden="1"/>
    </xf>
    <xf numFmtId="0" fontId="2" fillId="35" borderId="15" xfId="136" applyFont="1" applyFill="1" applyBorder="1" applyAlignment="1" applyProtection="1">
      <alignment vertical="center"/>
      <protection hidden="1"/>
    </xf>
    <xf numFmtId="0" fontId="2" fillId="35" borderId="25" xfId="136" applyFont="1" applyFill="1" applyBorder="1" applyAlignment="1" applyProtection="1">
      <alignment vertical="center"/>
      <protection hidden="1"/>
    </xf>
    <xf numFmtId="1" fontId="2" fillId="35" borderId="29" xfId="136" applyNumberFormat="1" applyFill="1" applyBorder="1" applyAlignment="1" applyProtection="1">
      <alignment horizontal="right" vertical="center" indent="1"/>
      <protection hidden="1"/>
    </xf>
    <xf numFmtId="1" fontId="2" fillId="35" borderId="17" xfId="136" applyNumberFormat="1" applyFill="1" applyBorder="1" applyAlignment="1" applyProtection="1">
      <alignment horizontal="right" vertical="center" indent="1"/>
      <protection hidden="1"/>
    </xf>
    <xf numFmtId="1" fontId="2" fillId="35" borderId="18" xfId="136" applyNumberFormat="1" applyFill="1" applyBorder="1" applyAlignment="1" applyProtection="1">
      <alignment horizontal="right" vertical="center" indent="1"/>
      <protection hidden="1"/>
    </xf>
    <xf numFmtId="1" fontId="2" fillId="35" borderId="30" xfId="136" applyNumberFormat="1" applyFill="1" applyBorder="1" applyAlignment="1" applyProtection="1">
      <alignment horizontal="right" vertical="center" indent="1"/>
      <protection hidden="1"/>
    </xf>
    <xf numFmtId="1" fontId="2" fillId="35" borderId="31" xfId="136" applyNumberFormat="1" applyFill="1" applyBorder="1" applyAlignment="1" applyProtection="1">
      <alignment horizontal="right" vertical="center" indent="1"/>
      <protection hidden="1"/>
    </xf>
    <xf numFmtId="1" fontId="2" fillId="35" borderId="32" xfId="136" applyNumberFormat="1" applyFill="1" applyBorder="1" applyAlignment="1" applyProtection="1">
      <alignment horizontal="right" vertical="center" indent="1"/>
      <protection hidden="1"/>
    </xf>
    <xf numFmtId="0" fontId="2" fillId="35" borderId="29" xfId="136" applyFill="1" applyBorder="1" applyAlignment="1" applyProtection="1">
      <alignment horizontal="right" vertical="top"/>
      <protection hidden="1"/>
    </xf>
    <xf numFmtId="0" fontId="2" fillId="35" borderId="17" xfId="136" applyFill="1" applyBorder="1" applyAlignment="1" applyProtection="1">
      <alignment horizontal="right" vertical="top"/>
      <protection hidden="1"/>
    </xf>
    <xf numFmtId="0" fontId="2" fillId="35" borderId="18" xfId="136" applyFill="1" applyBorder="1" applyAlignment="1" applyProtection="1">
      <alignment horizontal="right" vertical="top"/>
      <protection hidden="1"/>
    </xf>
    <xf numFmtId="0" fontId="2" fillId="35" borderId="33" xfId="136" applyFill="1" applyBorder="1" applyAlignment="1" applyProtection="1">
      <alignment horizontal="right" vertical="top"/>
      <protection hidden="1"/>
    </xf>
    <xf numFmtId="0" fontId="2" fillId="35" borderId="0" xfId="136" applyFill="1" applyBorder="1" applyAlignment="1" applyProtection="1">
      <alignment horizontal="right" vertical="top"/>
      <protection hidden="1"/>
    </xf>
    <xf numFmtId="0" fontId="2" fillId="35" borderId="19" xfId="136" applyFill="1" applyBorder="1" applyAlignment="1" applyProtection="1">
      <alignment horizontal="right" vertical="top"/>
      <protection hidden="1"/>
    </xf>
    <xf numFmtId="0" fontId="2" fillId="0" borderId="29" xfId="136" applyFont="1" applyFill="1" applyBorder="1" applyAlignment="1" applyProtection="1">
      <alignment horizontal="right" vertical="center"/>
      <protection hidden="1"/>
    </xf>
    <xf numFmtId="0" fontId="2" fillId="0" borderId="17" xfId="136" applyFont="1" applyFill="1" applyBorder="1" applyAlignment="1" applyProtection="1">
      <alignment horizontal="right" vertical="center"/>
      <protection hidden="1"/>
    </xf>
    <xf numFmtId="0" fontId="2" fillId="0" borderId="18" xfId="136" applyFont="1" applyFill="1" applyBorder="1" applyAlignment="1" applyProtection="1">
      <alignment horizontal="right" vertical="center"/>
      <protection hidden="1"/>
    </xf>
    <xf numFmtId="0" fontId="2" fillId="35" borderId="16" xfId="136" applyFont="1" applyFill="1" applyBorder="1" applyAlignment="1" applyProtection="1">
      <alignment horizontal="right" vertical="center"/>
      <protection hidden="1"/>
    </xf>
    <xf numFmtId="0" fontId="2" fillId="35" borderId="15" xfId="136" applyFont="1" applyFill="1" applyBorder="1" applyAlignment="1" applyProtection="1">
      <alignment horizontal="right" vertical="center"/>
      <protection hidden="1"/>
    </xf>
    <xf numFmtId="0" fontId="2" fillId="35" borderId="25" xfId="136" applyFont="1" applyFill="1" applyBorder="1" applyAlignment="1" applyProtection="1">
      <alignment horizontal="right" vertical="center"/>
      <protection hidden="1"/>
    </xf>
    <xf numFmtId="0" fontId="2" fillId="0" borderId="30" xfId="136" applyFont="1" applyFill="1" applyBorder="1" applyAlignment="1" applyProtection="1">
      <alignment horizontal="right" vertical="center"/>
      <protection hidden="1"/>
    </xf>
    <xf numFmtId="0" fontId="2" fillId="0" borderId="31" xfId="136" applyFont="1" applyFill="1" applyBorder="1" applyAlignment="1" applyProtection="1">
      <alignment horizontal="right" vertical="center"/>
      <protection hidden="1"/>
    </xf>
    <xf numFmtId="0" fontId="2" fillId="0" borderId="32" xfId="136" applyFont="1" applyFill="1" applyBorder="1" applyAlignment="1" applyProtection="1">
      <alignment horizontal="right" vertical="center"/>
      <protection hidden="1"/>
    </xf>
    <xf numFmtId="0" fontId="163" fillId="0" borderId="15" xfId="136" applyFont="1" applyFill="1" applyBorder="1" applyAlignment="1" applyProtection="1">
      <alignment horizontal="center" vertical="center"/>
      <protection hidden="1"/>
    </xf>
    <xf numFmtId="0" fontId="163" fillId="0" borderId="25" xfId="136" applyFont="1" applyFill="1" applyBorder="1" applyAlignment="1" applyProtection="1">
      <alignment horizontal="center" vertical="center"/>
      <protection hidden="1"/>
    </xf>
    <xf numFmtId="0" fontId="2" fillId="0" borderId="25" xfId="136" applyFont="1" applyFill="1" applyBorder="1" applyAlignment="1" applyProtection="1">
      <alignment vertical="center"/>
      <protection hidden="1"/>
    </xf>
    <xf numFmtId="0" fontId="2" fillId="0" borderId="33" xfId="136" applyFont="1" applyFill="1" applyBorder="1" applyAlignment="1" applyProtection="1">
      <alignment horizontal="right" vertical="center"/>
      <protection hidden="1"/>
    </xf>
    <xf numFmtId="0" fontId="2" fillId="0" borderId="0" xfId="136" applyFont="1" applyFill="1" applyBorder="1" applyAlignment="1" applyProtection="1">
      <alignment horizontal="right" vertical="center"/>
      <protection hidden="1"/>
    </xf>
    <xf numFmtId="0" fontId="2" fillId="0" borderId="19" xfId="136" applyFont="1" applyFill="1" applyBorder="1" applyAlignment="1" applyProtection="1">
      <alignment horizontal="right" vertical="center"/>
      <protection hidden="1"/>
    </xf>
    <xf numFmtId="0" fontId="3" fillId="0" borderId="16" xfId="136" quotePrefix="1" applyFont="1" applyFill="1" applyBorder="1" applyAlignment="1" applyProtection="1">
      <alignment vertical="center" wrapText="1"/>
      <protection hidden="1"/>
    </xf>
    <xf numFmtId="0" fontId="3" fillId="0" borderId="15" xfId="136" quotePrefix="1" applyFont="1" applyFill="1" applyBorder="1" applyAlignment="1" applyProtection="1">
      <alignment vertical="center"/>
      <protection hidden="1"/>
    </xf>
    <xf numFmtId="0" fontId="3" fillId="0" borderId="25" xfId="136" quotePrefix="1" applyFont="1" applyFill="1" applyBorder="1" applyAlignment="1" applyProtection="1">
      <alignment vertical="center"/>
      <protection hidden="1"/>
    </xf>
    <xf numFmtId="0" fontId="2" fillId="35" borderId="30" xfId="136" applyFill="1" applyBorder="1" applyAlignment="1" applyProtection="1">
      <alignment horizontal="right" vertical="top" indent="1"/>
      <protection hidden="1"/>
    </xf>
    <xf numFmtId="0" fontId="2" fillId="35" borderId="31" xfId="136" applyFill="1" applyBorder="1" applyAlignment="1" applyProtection="1">
      <alignment horizontal="right" vertical="top" indent="1"/>
      <protection hidden="1"/>
    </xf>
    <xf numFmtId="0" fontId="2" fillId="35" borderId="32" xfId="136" applyFill="1" applyBorder="1" applyAlignment="1" applyProtection="1">
      <alignment horizontal="right" vertical="top" indent="1"/>
      <protection hidden="1"/>
    </xf>
    <xf numFmtId="0" fontId="2" fillId="0" borderId="16" xfId="136" applyFill="1" applyBorder="1" applyAlignment="1" applyProtection="1">
      <alignment horizontal="right" vertical="center" indent="1"/>
      <protection hidden="1"/>
    </xf>
    <xf numFmtId="0" fontId="2" fillId="0" borderId="15" xfId="136" applyFill="1" applyBorder="1" applyAlignment="1" applyProtection="1">
      <alignment horizontal="right" vertical="center" indent="1"/>
      <protection hidden="1"/>
    </xf>
    <xf numFmtId="0" fontId="2" fillId="0" borderId="25" xfId="136" applyFill="1" applyBorder="1" applyAlignment="1" applyProtection="1">
      <alignment horizontal="right" vertical="center" indent="1"/>
      <protection hidden="1"/>
    </xf>
    <xf numFmtId="0" fontId="26" fillId="35" borderId="12" xfId="136" applyFont="1" applyFill="1" applyBorder="1" applyAlignment="1" applyProtection="1">
      <alignment horizontal="right" vertical="top" indent="1"/>
      <protection hidden="1"/>
    </xf>
    <xf numFmtId="0" fontId="0" fillId="35" borderId="0" xfId="0" applyFill="1" applyBorder="1" applyAlignment="1" applyProtection="1">
      <alignment vertical="center"/>
      <protection hidden="1"/>
    </xf>
    <xf numFmtId="0" fontId="0" fillId="35" borderId="7" xfId="0" applyFill="1" applyBorder="1" applyAlignment="1" applyProtection="1">
      <alignment horizontal="right" vertical="center" indent="1"/>
      <protection hidden="1"/>
    </xf>
    <xf numFmtId="0" fontId="0" fillId="35" borderId="0" xfId="0" applyFill="1" applyBorder="1" applyAlignment="1" applyProtection="1">
      <alignment horizontal="right" vertical="center" indent="1"/>
      <protection hidden="1"/>
    </xf>
    <xf numFmtId="0" fontId="2" fillId="35" borderId="7" xfId="0" applyFont="1" applyFill="1" applyBorder="1" applyAlignment="1" applyProtection="1">
      <alignment horizontal="right" vertical="center" indent="1"/>
      <protection locked="0"/>
    </xf>
    <xf numFmtId="0" fontId="2" fillId="0" borderId="7" xfId="0" applyFont="1" applyFill="1" applyBorder="1" applyAlignment="1" applyProtection="1">
      <alignment horizontal="right" vertical="center" indent="1"/>
      <protection locked="0"/>
    </xf>
    <xf numFmtId="0" fontId="158" fillId="35" borderId="0" xfId="0" applyFont="1" applyFill="1" applyBorder="1" applyAlignment="1" applyProtection="1">
      <alignment horizontal="right" vertical="center" indent="1"/>
      <protection hidden="1"/>
    </xf>
    <xf numFmtId="0" fontId="158" fillId="35" borderId="21" xfId="0" applyFont="1" applyFill="1" applyBorder="1" applyAlignment="1" applyProtection="1">
      <alignment horizontal="right" vertical="center" indent="1"/>
      <protection hidden="1"/>
    </xf>
    <xf numFmtId="0" fontId="169" fillId="35" borderId="35" xfId="0" applyFont="1" applyFill="1" applyBorder="1" applyAlignment="1" applyProtection="1">
      <alignment horizontal="right" vertical="center" indent="1"/>
      <protection hidden="1"/>
    </xf>
    <xf numFmtId="0" fontId="0" fillId="35" borderId="34" xfId="0" applyFill="1" applyBorder="1" applyAlignment="1" applyProtection="1">
      <alignment horizontal="right" vertical="center" indent="1"/>
      <protection hidden="1"/>
    </xf>
    <xf numFmtId="0" fontId="0" fillId="35" borderId="35" xfId="0" applyFill="1" applyBorder="1" applyAlignment="1" applyProtection="1">
      <alignment horizontal="right" vertical="center" indent="1"/>
      <protection hidden="1"/>
    </xf>
    <xf numFmtId="0" fontId="0" fillId="35" borderId="36" xfId="0" applyFill="1" applyBorder="1" applyAlignment="1" applyProtection="1">
      <alignment horizontal="right" vertical="center" indent="1"/>
      <protection hidden="1"/>
    </xf>
    <xf numFmtId="0" fontId="3" fillId="0" borderId="34" xfId="0" applyFont="1" applyFill="1" applyBorder="1" applyAlignment="1" applyProtection="1">
      <alignment horizontal="right" vertical="center" indent="1"/>
      <protection hidden="1"/>
    </xf>
    <xf numFmtId="0" fontId="3" fillId="0" borderId="35" xfId="0" applyFont="1" applyFill="1" applyBorder="1" applyAlignment="1" applyProtection="1">
      <alignment horizontal="right" vertical="center" indent="1"/>
      <protection hidden="1"/>
    </xf>
    <xf numFmtId="0" fontId="3" fillId="0" borderId="36" xfId="0" applyFont="1" applyFill="1" applyBorder="1" applyAlignment="1" applyProtection="1">
      <alignment horizontal="right" vertical="center" indent="1"/>
      <protection hidden="1"/>
    </xf>
    <xf numFmtId="0" fontId="0" fillId="35" borderId="1" xfId="0" applyFill="1" applyBorder="1" applyAlignment="1" applyProtection="1">
      <alignment horizontal="right" vertical="center" indent="1"/>
      <protection hidden="1"/>
    </xf>
    <xf numFmtId="0" fontId="0" fillId="35" borderId="21" xfId="0" applyFill="1" applyBorder="1" applyAlignment="1" applyProtection="1">
      <alignment horizontal="right" vertical="center" indent="1"/>
      <protection hidden="1"/>
    </xf>
    <xf numFmtId="0" fontId="6" fillId="35" borderId="21" xfId="0" applyFont="1" applyFill="1" applyBorder="1" applyAlignment="1" applyProtection="1">
      <alignment horizontal="right" vertical="center" indent="1"/>
      <protection hidden="1"/>
    </xf>
    <xf numFmtId="0" fontId="161" fillId="35" borderId="0" xfId="0" applyFont="1" applyFill="1" applyBorder="1" applyAlignment="1" applyProtection="1">
      <alignment horizontal="left" vertical="center" shrinkToFit="1"/>
      <protection hidden="1"/>
    </xf>
    <xf numFmtId="0" fontId="159" fillId="0" borderId="0" xfId="0" applyFont="1" applyFill="1" applyBorder="1" applyAlignment="1" applyProtection="1">
      <alignment horizontal="right" vertical="center" indent="1"/>
      <protection hidden="1"/>
    </xf>
    <xf numFmtId="0" fontId="160" fillId="35" borderId="7" xfId="0" applyFont="1" applyFill="1" applyBorder="1" applyAlignment="1" applyProtection="1">
      <alignment horizontal="right" vertical="center" indent="1"/>
      <protection hidden="1"/>
    </xf>
    <xf numFmtId="0" fontId="3" fillId="35" borderId="34" xfId="0" applyFont="1" applyFill="1" applyBorder="1" applyAlignment="1" applyProtection="1">
      <alignment horizontal="right" vertical="top" indent="1"/>
      <protection hidden="1"/>
    </xf>
    <xf numFmtId="0" fontId="3" fillId="35" borderId="35" xfId="0" applyFont="1" applyFill="1" applyBorder="1" applyAlignment="1" applyProtection="1">
      <alignment horizontal="right" vertical="top" indent="1"/>
      <protection hidden="1"/>
    </xf>
    <xf numFmtId="0" fontId="3" fillId="35" borderId="36" xfId="0" applyFont="1" applyFill="1" applyBorder="1" applyAlignment="1" applyProtection="1">
      <alignment horizontal="right" vertical="top" indent="1"/>
      <protection hidden="1"/>
    </xf>
    <xf numFmtId="0" fontId="152" fillId="35" borderId="0" xfId="0" applyFont="1" applyFill="1" applyBorder="1" applyAlignment="1" applyProtection="1">
      <alignment vertical="center"/>
      <protection hidden="1"/>
    </xf>
    <xf numFmtId="0" fontId="151" fillId="35" borderId="0" xfId="0" applyFont="1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horizontal="right" vertical="center" indent="1"/>
      <protection hidden="1"/>
    </xf>
    <xf numFmtId="0" fontId="160" fillId="0" borderId="7" xfId="0" applyFont="1" applyFill="1" applyBorder="1" applyAlignment="1" applyProtection="1">
      <alignment horizontal="right" vertical="center" indent="1"/>
      <protection hidden="1"/>
    </xf>
    <xf numFmtId="0" fontId="2" fillId="0" borderId="34" xfId="0" applyFont="1" applyFill="1" applyBorder="1" applyAlignment="1" applyProtection="1">
      <alignment horizontal="right" vertical="center" indent="1"/>
      <protection hidden="1"/>
    </xf>
    <xf numFmtId="0" fontId="2" fillId="0" borderId="35" xfId="0" applyFont="1" applyFill="1" applyBorder="1" applyAlignment="1" applyProtection="1">
      <alignment horizontal="right" vertical="center" indent="1"/>
      <protection hidden="1"/>
    </xf>
    <xf numFmtId="0" fontId="2" fillId="0" borderId="36" xfId="0" applyFont="1" applyFill="1" applyBorder="1" applyAlignment="1" applyProtection="1">
      <alignment horizontal="right" vertical="center" indent="1"/>
      <protection hidden="1"/>
    </xf>
    <xf numFmtId="0" fontId="2" fillId="35" borderId="34" xfId="0" applyFont="1" applyFill="1" applyBorder="1" applyAlignment="1" applyProtection="1">
      <alignment horizontal="right" vertical="top" indent="1"/>
      <protection hidden="1"/>
    </xf>
    <xf numFmtId="0" fontId="2" fillId="35" borderId="35" xfId="0" applyFont="1" applyFill="1" applyBorder="1" applyAlignment="1" applyProtection="1">
      <alignment horizontal="right" vertical="top" indent="1"/>
      <protection hidden="1"/>
    </xf>
    <xf numFmtId="0" fontId="2" fillId="35" borderId="36" xfId="0" applyFont="1" applyFill="1" applyBorder="1" applyAlignment="1" applyProtection="1">
      <alignment horizontal="right" vertical="top" indent="1"/>
      <protection hidden="1"/>
    </xf>
    <xf numFmtId="0" fontId="3" fillId="35" borderId="34" xfId="0" applyFont="1" applyFill="1" applyBorder="1" applyAlignment="1" applyProtection="1">
      <alignment horizontal="left" vertical="top" indent="1"/>
      <protection hidden="1"/>
    </xf>
    <xf numFmtId="0" fontId="3" fillId="35" borderId="35" xfId="0" applyFont="1" applyFill="1" applyBorder="1" applyAlignment="1" applyProtection="1">
      <alignment horizontal="left" vertical="top" indent="1"/>
      <protection hidden="1"/>
    </xf>
    <xf numFmtId="0" fontId="3" fillId="35" borderId="36" xfId="0" applyFont="1" applyFill="1" applyBorder="1" applyAlignment="1" applyProtection="1">
      <alignment horizontal="left" vertical="top" indent="1"/>
      <protection hidden="1"/>
    </xf>
    <xf numFmtId="0" fontId="3" fillId="35" borderId="34" xfId="0" applyFont="1" applyFill="1" applyBorder="1" applyAlignment="1" applyProtection="1">
      <alignment horizontal="left" vertical="top" wrapText="1" indent="1"/>
      <protection hidden="1"/>
    </xf>
    <xf numFmtId="0" fontId="0" fillId="0" borderId="35" xfId="0" applyBorder="1" applyAlignment="1" applyProtection="1">
      <alignment horizontal="left" vertical="top" indent="1"/>
      <protection hidden="1"/>
    </xf>
    <xf numFmtId="0" fontId="0" fillId="0" borderId="36" xfId="0" applyBorder="1" applyAlignment="1" applyProtection="1">
      <alignment horizontal="left" vertical="top" indent="1"/>
      <protection hidden="1"/>
    </xf>
    <xf numFmtId="14" fontId="0" fillId="35" borderId="16" xfId="0" applyNumberFormat="1" applyFill="1" applyBorder="1" applyAlignment="1" applyProtection="1">
      <alignment horizontal="center" vertical="top"/>
      <protection hidden="1"/>
    </xf>
    <xf numFmtId="14" fontId="0" fillId="35" borderId="15" xfId="0" applyNumberFormat="1" applyFill="1" applyBorder="1" applyAlignment="1" applyProtection="1">
      <alignment horizontal="center" vertical="top"/>
      <protection hidden="1"/>
    </xf>
    <xf numFmtId="14" fontId="0" fillId="35" borderId="25" xfId="0" applyNumberFormat="1" applyFill="1" applyBorder="1" applyAlignment="1" applyProtection="1">
      <alignment horizontal="center" vertical="top"/>
      <protection hidden="1"/>
    </xf>
    <xf numFmtId="0" fontId="8" fillId="35" borderId="7" xfId="0" applyFont="1" applyFill="1" applyBorder="1" applyAlignment="1" applyProtection="1">
      <alignment horizontal="center" vertical="top" wrapText="1"/>
      <protection locked="0"/>
    </xf>
    <xf numFmtId="0" fontId="0" fillId="35" borderId="44" xfId="0" applyFill="1" applyBorder="1" applyAlignment="1" applyProtection="1">
      <alignment horizontal="center" vertical="top" wrapText="1"/>
      <protection hidden="1"/>
    </xf>
    <xf numFmtId="0" fontId="0" fillId="35" borderId="1" xfId="0" applyFill="1" applyBorder="1" applyAlignment="1" applyProtection="1">
      <alignment horizontal="center" vertical="top" wrapText="1"/>
      <protection hidden="1"/>
    </xf>
    <xf numFmtId="0" fontId="0" fillId="35" borderId="13" xfId="0" applyFill="1" applyBorder="1" applyAlignment="1" applyProtection="1">
      <alignment horizontal="center" vertical="top" wrapText="1"/>
      <protection hidden="1"/>
    </xf>
    <xf numFmtId="0" fontId="0" fillId="35" borderId="45" xfId="0" applyFill="1" applyBorder="1" applyAlignment="1" applyProtection="1">
      <alignment horizontal="center" vertical="top" wrapText="1"/>
      <protection hidden="1"/>
    </xf>
    <xf numFmtId="0" fontId="0" fillId="35" borderId="0" xfId="0" applyFill="1" applyBorder="1" applyAlignment="1" applyProtection="1">
      <alignment horizontal="center" vertical="top" wrapText="1"/>
      <protection hidden="1"/>
    </xf>
    <xf numFmtId="0" fontId="0" fillId="35" borderId="14" xfId="0" applyFill="1" applyBorder="1" applyAlignment="1" applyProtection="1">
      <alignment horizontal="center" vertical="top" wrapText="1"/>
      <protection hidden="1"/>
    </xf>
    <xf numFmtId="0" fontId="0" fillId="35" borderId="37" xfId="0" applyFill="1" applyBorder="1" applyAlignment="1" applyProtection="1">
      <alignment horizontal="center" vertical="top" wrapText="1"/>
      <protection hidden="1"/>
    </xf>
    <xf numFmtId="0" fontId="0" fillId="35" borderId="21" xfId="0" applyFill="1" applyBorder="1" applyAlignment="1" applyProtection="1">
      <alignment horizontal="center" vertical="top" wrapText="1"/>
      <protection hidden="1"/>
    </xf>
    <xf numFmtId="0" fontId="0" fillId="35" borderId="20" xfId="0" applyFill="1" applyBorder="1" applyAlignment="1" applyProtection="1">
      <alignment horizontal="center" vertical="top" wrapText="1"/>
      <protection hidden="1"/>
    </xf>
    <xf numFmtId="0" fontId="2" fillId="35" borderId="34" xfId="0" applyFont="1" applyFill="1" applyBorder="1" applyAlignment="1" applyProtection="1">
      <alignment horizontal="center" vertical="top"/>
      <protection hidden="1"/>
    </xf>
    <xf numFmtId="0" fontId="2" fillId="35" borderId="35" xfId="0" applyFont="1" applyFill="1" applyBorder="1" applyAlignment="1" applyProtection="1">
      <alignment horizontal="center" vertical="top"/>
      <protection hidden="1"/>
    </xf>
    <xf numFmtId="0" fontId="2" fillId="35" borderId="36" xfId="0" applyFont="1" applyFill="1" applyBorder="1" applyAlignment="1" applyProtection="1">
      <alignment horizontal="center" vertical="top"/>
      <protection hidden="1"/>
    </xf>
    <xf numFmtId="0" fontId="2" fillId="35" borderId="7" xfId="0" applyFont="1" applyFill="1" applyBorder="1" applyAlignment="1" applyProtection="1">
      <alignment horizontal="center" vertical="top" wrapText="1"/>
      <protection hidden="1"/>
    </xf>
    <xf numFmtId="0" fontId="14" fillId="35" borderId="34" xfId="0" applyFont="1" applyFill="1" applyBorder="1" applyAlignment="1" applyProtection="1">
      <alignment horizontal="right" vertical="center" indent="1"/>
      <protection hidden="1"/>
    </xf>
    <xf numFmtId="0" fontId="14" fillId="35" borderId="35" xfId="0" applyFont="1" applyFill="1" applyBorder="1" applyAlignment="1" applyProtection="1">
      <alignment horizontal="right" vertical="center" indent="1"/>
      <protection hidden="1"/>
    </xf>
    <xf numFmtId="0" fontId="14" fillId="35" borderId="36" xfId="0" applyFont="1" applyFill="1" applyBorder="1" applyAlignment="1" applyProtection="1">
      <alignment horizontal="right" vertical="center" indent="1"/>
      <protection hidden="1"/>
    </xf>
    <xf numFmtId="0" fontId="0" fillId="35" borderId="16" xfId="0" applyFill="1" applyBorder="1" applyAlignment="1" applyProtection="1">
      <alignment horizontal="center" vertical="top"/>
      <protection hidden="1"/>
    </xf>
    <xf numFmtId="0" fontId="0" fillId="35" borderId="15" xfId="0" applyFill="1" applyBorder="1" applyAlignment="1" applyProtection="1">
      <alignment horizontal="center" vertical="top"/>
      <protection hidden="1"/>
    </xf>
    <xf numFmtId="0" fontId="0" fillId="35" borderId="25" xfId="0" applyFill="1" applyBorder="1" applyAlignment="1" applyProtection="1">
      <alignment horizontal="center" vertical="top"/>
      <protection hidden="1"/>
    </xf>
    <xf numFmtId="0" fontId="14" fillId="35" borderId="21" xfId="0" applyFont="1" applyFill="1" applyBorder="1" applyAlignment="1" applyProtection="1">
      <alignment vertical="top"/>
      <protection locked="0"/>
    </xf>
    <xf numFmtId="0" fontId="0" fillId="35" borderId="17" xfId="0" applyFill="1" applyBorder="1" applyAlignment="1" applyProtection="1">
      <alignment horizontal="center" vertical="center"/>
      <protection hidden="1"/>
    </xf>
    <xf numFmtId="0" fontId="0" fillId="35" borderId="31" xfId="0" applyFill="1" applyBorder="1" applyAlignment="1" applyProtection="1">
      <alignment vertical="center"/>
      <protection hidden="1"/>
    </xf>
    <xf numFmtId="0" fontId="3" fillId="35" borderId="17" xfId="0" applyFont="1" applyFill="1" applyBorder="1" applyAlignment="1" applyProtection="1">
      <alignment horizontal="center" vertical="center"/>
      <protection hidden="1"/>
    </xf>
    <xf numFmtId="0" fontId="3" fillId="35" borderId="31" xfId="0" applyFont="1" applyFill="1" applyBorder="1" applyAlignment="1" applyProtection="1">
      <alignment horizontal="center" vertical="center"/>
      <protection hidden="1"/>
    </xf>
    <xf numFmtId="0" fontId="28" fillId="36" borderId="0" xfId="0" applyFont="1" applyFill="1" applyBorder="1" applyAlignment="1" applyProtection="1">
      <alignment horizontal="center" vertical="center"/>
      <protection hidden="1"/>
    </xf>
    <xf numFmtId="0" fontId="21" fillId="37" borderId="0" xfId="114" applyFont="1" applyFill="1" applyAlignment="1" applyProtection="1">
      <alignment horizontal="center" vertical="center"/>
      <protection hidden="1"/>
    </xf>
    <xf numFmtId="0" fontId="2" fillId="35" borderId="31" xfId="0" applyFont="1" applyFill="1" applyBorder="1" applyAlignment="1" applyProtection="1">
      <alignment horizontal="center" vertical="top"/>
      <protection hidden="1"/>
    </xf>
    <xf numFmtId="0" fontId="0" fillId="35" borderId="29" xfId="0" applyFill="1" applyBorder="1" applyAlignment="1" applyProtection="1">
      <alignment horizontal="center" vertical="top"/>
      <protection hidden="1"/>
    </xf>
    <xf numFmtId="0" fontId="0" fillId="35" borderId="17" xfId="0" applyFill="1" applyBorder="1" applyAlignment="1" applyProtection="1">
      <alignment horizontal="center" vertical="top"/>
      <protection hidden="1"/>
    </xf>
    <xf numFmtId="0" fontId="0" fillId="35" borderId="18" xfId="0" applyFill="1" applyBorder="1" applyAlignment="1" applyProtection="1">
      <alignment horizontal="center" vertical="top"/>
      <protection hidden="1"/>
    </xf>
    <xf numFmtId="0" fontId="0" fillId="35" borderId="33" xfId="0" applyFill="1" applyBorder="1" applyAlignment="1" applyProtection="1">
      <alignment horizontal="center" vertical="top"/>
      <protection hidden="1"/>
    </xf>
    <xf numFmtId="0" fontId="0" fillId="35" borderId="0" xfId="0" applyFill="1" applyBorder="1" applyAlignment="1" applyProtection="1">
      <alignment horizontal="center" vertical="top"/>
      <protection hidden="1"/>
    </xf>
    <xf numFmtId="0" fontId="0" fillId="35" borderId="19" xfId="0" applyFill="1" applyBorder="1" applyAlignment="1" applyProtection="1">
      <alignment horizontal="center" vertical="top"/>
      <protection hidden="1"/>
    </xf>
    <xf numFmtId="0" fontId="0" fillId="35" borderId="30" xfId="0" applyFill="1" applyBorder="1" applyAlignment="1" applyProtection="1">
      <alignment horizontal="center" vertical="top"/>
      <protection hidden="1"/>
    </xf>
    <xf numFmtId="0" fontId="0" fillId="35" borderId="31" xfId="0" applyFill="1" applyBorder="1" applyAlignment="1" applyProtection="1">
      <alignment horizontal="center" vertical="top"/>
      <protection hidden="1"/>
    </xf>
    <xf numFmtId="0" fontId="0" fillId="35" borderId="32" xfId="0" applyFill="1" applyBorder="1" applyAlignment="1" applyProtection="1">
      <alignment horizontal="center" vertical="top"/>
      <protection hidden="1"/>
    </xf>
    <xf numFmtId="0" fontId="14" fillId="35" borderId="35" xfId="0" applyFont="1" applyFill="1" applyBorder="1" applyAlignment="1" applyProtection="1">
      <alignment vertical="top"/>
      <protection locked="0"/>
    </xf>
    <xf numFmtId="0" fontId="14" fillId="35" borderId="0" xfId="0" applyFont="1" applyFill="1" applyBorder="1" applyAlignment="1" applyProtection="1">
      <alignment horizontal="center" vertical="top"/>
      <protection locked="0"/>
    </xf>
    <xf numFmtId="0" fontId="3" fillId="35" borderId="1" xfId="0" applyFont="1" applyFill="1" applyBorder="1" applyAlignment="1" applyProtection="1">
      <alignment vertical="top"/>
    </xf>
    <xf numFmtId="0" fontId="14" fillId="0" borderId="21" xfId="0" applyFont="1" applyBorder="1" applyProtection="1">
      <protection locked="0"/>
    </xf>
    <xf numFmtId="169" fontId="3" fillId="35" borderId="0" xfId="0" applyNumberFormat="1" applyFont="1" applyFill="1" applyBorder="1" applyAlignment="1" applyProtection="1">
      <alignment horizontal="right" vertical="center"/>
      <protection hidden="1"/>
    </xf>
    <xf numFmtId="185" fontId="3" fillId="35" borderId="0" xfId="0" applyNumberFormat="1" applyFont="1" applyFill="1" applyBorder="1" applyAlignment="1" applyProtection="1">
      <alignment horizontal="left" vertical="center"/>
      <protection hidden="1"/>
    </xf>
    <xf numFmtId="0" fontId="3" fillId="35" borderId="7" xfId="0" applyFont="1" applyFill="1" applyBorder="1" applyAlignment="1" applyProtection="1">
      <alignment horizontal="center" vertical="top" wrapText="1"/>
      <protection hidden="1"/>
    </xf>
    <xf numFmtId="0" fontId="0" fillId="35" borderId="7" xfId="0" applyFill="1" applyBorder="1" applyAlignment="1" applyProtection="1">
      <alignment horizontal="center" vertical="top" wrapText="1"/>
      <protection hidden="1"/>
    </xf>
    <xf numFmtId="0" fontId="8" fillId="35" borderId="17" xfId="0" applyFont="1" applyFill="1" applyBorder="1" applyAlignment="1" applyProtection="1">
      <alignment horizontal="center" vertical="center" shrinkToFit="1"/>
      <protection locked="0"/>
    </xf>
    <xf numFmtId="0" fontId="8" fillId="35" borderId="31" xfId="0" applyFont="1" applyFill="1" applyBorder="1" applyAlignment="1" applyProtection="1">
      <alignment horizontal="center" vertical="center" shrinkToFit="1"/>
      <protection locked="0"/>
    </xf>
    <xf numFmtId="0" fontId="3" fillId="35" borderId="0" xfId="0" applyFont="1" applyFill="1" applyBorder="1" applyAlignment="1" applyProtection="1">
      <alignment horizontal="center" vertical="top"/>
      <protection hidden="1"/>
    </xf>
    <xf numFmtId="0" fontId="104" fillId="35" borderId="0" xfId="0" applyFont="1" applyFill="1" applyBorder="1" applyAlignment="1" applyProtection="1">
      <alignment vertical="center"/>
      <protection hidden="1"/>
    </xf>
    <xf numFmtId="0" fontId="0" fillId="35" borderId="34" xfId="0" applyFill="1" applyBorder="1" applyAlignment="1" applyProtection="1">
      <alignment horizontal="right" vertical="center" indent="2"/>
      <protection hidden="1"/>
    </xf>
    <xf numFmtId="0" fontId="0" fillId="35" borderId="35" xfId="0" applyFill="1" applyBorder="1" applyAlignment="1" applyProtection="1">
      <alignment horizontal="right" vertical="center" indent="2"/>
      <protection hidden="1"/>
    </xf>
    <xf numFmtId="0" fontId="0" fillId="35" borderId="36" xfId="0" applyFill="1" applyBorder="1" applyAlignment="1" applyProtection="1">
      <alignment horizontal="right" vertical="center" indent="2"/>
      <protection hidden="1"/>
    </xf>
    <xf numFmtId="0" fontId="0" fillId="35" borderId="21" xfId="0" applyFill="1" applyBorder="1" applyAlignment="1" applyProtection="1">
      <alignment vertical="center"/>
      <protection hidden="1"/>
    </xf>
    <xf numFmtId="0" fontId="22" fillId="37" borderId="0" xfId="114" applyFont="1" applyFill="1" applyBorder="1" applyAlignment="1" applyProtection="1">
      <alignment horizontal="center" vertical="center"/>
      <protection hidden="1"/>
    </xf>
    <xf numFmtId="0" fontId="7" fillId="35" borderId="0" xfId="0" applyFont="1" applyFill="1" applyBorder="1" applyAlignment="1" applyProtection="1">
      <alignment vertical="center" wrapText="1"/>
      <protection hidden="1"/>
    </xf>
    <xf numFmtId="0" fontId="2" fillId="35" borderId="34" xfId="0" applyFont="1" applyFill="1" applyBorder="1" applyAlignment="1" applyProtection="1">
      <alignment horizontal="right" vertical="center" indent="1"/>
      <protection locked="0"/>
    </xf>
    <xf numFmtId="0" fontId="2" fillId="35" borderId="35" xfId="0" applyFont="1" applyFill="1" applyBorder="1" applyAlignment="1" applyProtection="1">
      <alignment horizontal="right" vertical="center" indent="1"/>
      <protection locked="0"/>
    </xf>
    <xf numFmtId="0" fontId="2" fillId="35" borderId="36" xfId="0" applyFont="1" applyFill="1" applyBorder="1" applyAlignment="1" applyProtection="1">
      <alignment horizontal="right" vertical="center" indent="1"/>
      <protection locked="0"/>
    </xf>
    <xf numFmtId="0" fontId="0" fillId="0" borderId="34" xfId="0" applyFill="1" applyBorder="1" applyAlignment="1" applyProtection="1">
      <alignment horizontal="right" vertical="center" indent="1"/>
      <protection hidden="1"/>
    </xf>
    <xf numFmtId="0" fontId="0" fillId="0" borderId="35" xfId="0" applyFill="1" applyBorder="1" applyAlignment="1" applyProtection="1">
      <alignment horizontal="right" vertical="center" indent="1"/>
      <protection hidden="1"/>
    </xf>
    <xf numFmtId="0" fontId="0" fillId="0" borderId="36" xfId="0" applyFill="1" applyBorder="1" applyAlignment="1" applyProtection="1">
      <alignment horizontal="right" vertical="center" indent="1"/>
      <protection hidden="1"/>
    </xf>
    <xf numFmtId="1" fontId="0" fillId="35" borderId="34" xfId="0" applyNumberFormat="1" applyFill="1" applyBorder="1" applyAlignment="1" applyProtection="1">
      <alignment horizontal="right" vertical="center" indent="1"/>
      <protection hidden="1"/>
    </xf>
    <xf numFmtId="1" fontId="0" fillId="35" borderId="35" xfId="0" applyNumberFormat="1" applyFill="1" applyBorder="1" applyAlignment="1" applyProtection="1">
      <alignment horizontal="right" vertical="center" indent="1"/>
      <protection hidden="1"/>
    </xf>
    <xf numFmtId="1" fontId="0" fillId="35" borderId="36" xfId="0" applyNumberFormat="1" applyFill="1" applyBorder="1" applyAlignment="1" applyProtection="1">
      <alignment horizontal="right" vertical="center" indent="1"/>
      <protection hidden="1"/>
    </xf>
    <xf numFmtId="0" fontId="2" fillId="35" borderId="34" xfId="0" applyFont="1" applyFill="1" applyBorder="1" applyAlignment="1" applyProtection="1">
      <alignment horizontal="right" vertical="center" indent="1"/>
      <protection hidden="1"/>
    </xf>
    <xf numFmtId="0" fontId="2" fillId="35" borderId="35" xfId="0" applyFont="1" applyFill="1" applyBorder="1" applyAlignment="1" applyProtection="1">
      <alignment horizontal="right" vertical="center" indent="1"/>
      <protection hidden="1"/>
    </xf>
    <xf numFmtId="0" fontId="2" fillId="35" borderId="36" xfId="0" applyFont="1" applyFill="1" applyBorder="1" applyAlignment="1" applyProtection="1">
      <alignment horizontal="right" vertical="center" indent="1"/>
      <protection hidden="1"/>
    </xf>
    <xf numFmtId="0" fontId="19" fillId="35" borderId="0" xfId="0" applyFont="1" applyFill="1" applyBorder="1" applyAlignment="1" applyProtection="1">
      <alignment vertical="center" wrapText="1" shrinkToFit="1"/>
      <protection hidden="1"/>
    </xf>
    <xf numFmtId="0" fontId="100" fillId="35" borderId="0" xfId="0" applyFont="1" applyFill="1" applyAlignment="1">
      <alignment wrapText="1" shrinkToFit="1"/>
    </xf>
    <xf numFmtId="0" fontId="0" fillId="35" borderId="1" xfId="0" applyFill="1" applyBorder="1" applyAlignment="1" applyProtection="1">
      <alignment vertical="center"/>
      <protection hidden="1"/>
    </xf>
    <xf numFmtId="1" fontId="3" fillId="35" borderId="34" xfId="0" applyNumberFormat="1" applyFont="1" applyFill="1" applyBorder="1" applyAlignment="1" applyProtection="1">
      <alignment horizontal="right" vertical="center" indent="1"/>
      <protection hidden="1"/>
    </xf>
    <xf numFmtId="1" fontId="3" fillId="35" borderId="35" xfId="0" applyNumberFormat="1" applyFont="1" applyFill="1" applyBorder="1" applyAlignment="1" applyProtection="1">
      <alignment horizontal="right" vertical="center" indent="1"/>
      <protection hidden="1"/>
    </xf>
    <xf numFmtId="1" fontId="3" fillId="35" borderId="36" xfId="0" applyNumberFormat="1" applyFont="1" applyFill="1" applyBorder="1" applyAlignment="1" applyProtection="1">
      <alignment horizontal="right" vertical="center" indent="1"/>
      <protection hidden="1"/>
    </xf>
    <xf numFmtId="0" fontId="3" fillId="35" borderId="34" xfId="0" applyFont="1" applyFill="1" applyBorder="1" applyAlignment="1" applyProtection="1">
      <alignment horizontal="right" vertical="center" indent="1"/>
      <protection hidden="1"/>
    </xf>
    <xf numFmtId="0" fontId="3" fillId="35" borderId="35" xfId="0" applyFont="1" applyFill="1" applyBorder="1" applyAlignment="1" applyProtection="1">
      <alignment horizontal="right" vertical="center" indent="1"/>
      <protection hidden="1"/>
    </xf>
    <xf numFmtId="0" fontId="3" fillId="35" borderId="36" xfId="0" applyFont="1" applyFill="1" applyBorder="1" applyAlignment="1" applyProtection="1">
      <alignment horizontal="right" vertical="center" indent="1"/>
      <protection hidden="1"/>
    </xf>
    <xf numFmtId="0" fontId="104" fillId="35" borderId="35" xfId="0" applyFont="1" applyFill="1" applyBorder="1" applyAlignment="1" applyProtection="1">
      <alignment horizontal="center" vertical="center"/>
      <protection hidden="1"/>
    </xf>
    <xf numFmtId="0" fontId="26" fillId="35" borderId="35" xfId="0" applyFont="1" applyFill="1" applyBorder="1" applyAlignment="1" applyProtection="1">
      <alignment horizontal="center" vertical="top"/>
      <protection hidden="1"/>
    </xf>
    <xf numFmtId="0" fontId="0" fillId="35" borderId="35" xfId="0" applyFill="1" applyBorder="1" applyAlignment="1" applyProtection="1">
      <alignment vertical="center"/>
      <protection hidden="1"/>
    </xf>
    <xf numFmtId="1" fontId="3" fillId="0" borderId="34" xfId="0" applyNumberFormat="1" applyFont="1" applyFill="1" applyBorder="1" applyAlignment="1" applyProtection="1">
      <alignment horizontal="right" vertical="center" indent="1"/>
      <protection hidden="1"/>
    </xf>
    <xf numFmtId="1" fontId="3" fillId="0" borderId="35" xfId="0" applyNumberFormat="1" applyFont="1" applyFill="1" applyBorder="1" applyAlignment="1" applyProtection="1">
      <alignment horizontal="right" vertical="center" indent="1"/>
      <protection hidden="1"/>
    </xf>
    <xf numFmtId="1" fontId="3" fillId="0" borderId="36" xfId="0" applyNumberFormat="1" applyFont="1" applyFill="1" applyBorder="1" applyAlignment="1" applyProtection="1">
      <alignment horizontal="right" vertical="center" indent="1"/>
      <protection hidden="1"/>
    </xf>
    <xf numFmtId="1" fontId="2" fillId="0" borderId="34" xfId="0" applyNumberFormat="1" applyFont="1" applyFill="1" applyBorder="1" applyAlignment="1" applyProtection="1">
      <alignment horizontal="right" vertical="center" indent="1"/>
      <protection hidden="1"/>
    </xf>
    <xf numFmtId="1" fontId="2" fillId="0" borderId="35" xfId="0" applyNumberFormat="1" applyFont="1" applyFill="1" applyBorder="1" applyAlignment="1" applyProtection="1">
      <alignment horizontal="right" vertical="center" indent="1"/>
      <protection hidden="1"/>
    </xf>
    <xf numFmtId="1" fontId="2" fillId="0" borderId="36" xfId="0" applyNumberFormat="1" applyFont="1" applyFill="1" applyBorder="1" applyAlignment="1" applyProtection="1">
      <alignment horizontal="right" vertical="center" indent="1"/>
      <protection hidden="1"/>
    </xf>
    <xf numFmtId="14" fontId="7" fillId="35" borderId="0" xfId="0" applyNumberFormat="1" applyFont="1" applyFill="1" applyBorder="1" applyAlignment="1" applyProtection="1">
      <alignment horizontal="center" vertical="top"/>
      <protection hidden="1"/>
    </xf>
    <xf numFmtId="14" fontId="30" fillId="35" borderId="0" xfId="0" applyNumberFormat="1" applyFont="1" applyFill="1" applyBorder="1" applyAlignment="1" applyProtection="1">
      <alignment horizontal="left" vertical="center"/>
      <protection locked="0"/>
    </xf>
    <xf numFmtId="0" fontId="2" fillId="35" borderId="0" xfId="0" applyFont="1" applyFill="1" applyBorder="1" applyAlignment="1" applyProtection="1">
      <alignment vertical="center" shrinkToFit="1"/>
      <protection hidden="1"/>
    </xf>
    <xf numFmtId="1" fontId="17" fillId="35" borderId="0" xfId="0" applyNumberFormat="1" applyFont="1" applyFill="1" applyBorder="1" applyAlignment="1" applyProtection="1">
      <alignment horizontal="left" vertical="center"/>
    </xf>
    <xf numFmtId="14" fontId="18" fillId="35" borderId="0" xfId="0" applyNumberFormat="1" applyFont="1" applyFill="1" applyBorder="1" applyAlignment="1" applyProtection="1">
      <alignment horizontal="left" vertical="center" shrinkToFit="1"/>
      <protection locked="0"/>
    </xf>
    <xf numFmtId="0" fontId="30" fillId="35" borderId="0" xfId="0" applyFont="1" applyFill="1" applyBorder="1" applyAlignment="1" applyProtection="1">
      <alignment horizontal="center" vertical="center" shrinkToFit="1"/>
      <protection locked="0"/>
    </xf>
    <xf numFmtId="0" fontId="22" fillId="35" borderId="0" xfId="0" applyFont="1" applyFill="1" applyBorder="1" applyAlignment="1" applyProtection="1">
      <alignment vertical="center" shrinkToFit="1"/>
      <protection hidden="1"/>
    </xf>
    <xf numFmtId="0" fontId="22" fillId="35" borderId="0" xfId="0" applyFont="1" applyFill="1" applyBorder="1" applyAlignment="1" applyProtection="1">
      <alignment horizontal="left" vertical="center" shrinkToFit="1"/>
      <protection hidden="1"/>
    </xf>
    <xf numFmtId="0" fontId="31" fillId="35" borderId="0" xfId="0" applyFont="1" applyFill="1" applyBorder="1" applyAlignment="1" applyProtection="1">
      <alignment horizontal="center" vertical="center" shrinkToFit="1"/>
      <protection locked="0"/>
    </xf>
    <xf numFmtId="0" fontId="3" fillId="0" borderId="0" xfId="132" applyFont="1" applyFill="1" applyBorder="1" applyAlignment="1" applyProtection="1">
      <alignment horizontal="center" vertical="center" shrinkToFit="1"/>
      <protection hidden="1"/>
    </xf>
    <xf numFmtId="14" fontId="3" fillId="35" borderId="0" xfId="133" applyNumberFormat="1" applyFont="1" applyFill="1" applyBorder="1" applyAlignment="1" applyProtection="1">
      <alignment horizontal="center" vertical="center" shrinkToFit="1"/>
      <protection hidden="1"/>
    </xf>
    <xf numFmtId="14" fontId="3" fillId="0" borderId="0" xfId="132" applyNumberFormat="1" applyFont="1" applyFill="1" applyBorder="1" applyAlignment="1" applyProtection="1">
      <alignment horizontal="center" vertical="center" shrinkToFit="1"/>
      <protection hidden="1"/>
    </xf>
    <xf numFmtId="0" fontId="2" fillId="35" borderId="0" xfId="136" applyFont="1" applyFill="1" applyAlignment="1" applyProtection="1">
      <alignment vertical="top"/>
      <protection hidden="1"/>
    </xf>
    <xf numFmtId="0" fontId="117" fillId="35" borderId="12" xfId="136" applyFont="1" applyFill="1" applyBorder="1" applyAlignment="1" applyProtection="1">
      <alignment horizontal="center" vertical="center"/>
      <protection hidden="1"/>
    </xf>
    <xf numFmtId="0" fontId="117" fillId="35" borderId="16" xfId="136" applyFont="1" applyFill="1" applyBorder="1" applyAlignment="1" applyProtection="1">
      <alignment horizontal="center" vertical="center"/>
      <protection hidden="1"/>
    </xf>
    <xf numFmtId="0" fontId="117" fillId="35" borderId="15" xfId="136" applyFont="1" applyFill="1" applyBorder="1" applyAlignment="1" applyProtection="1">
      <alignment horizontal="center" vertical="center"/>
      <protection hidden="1"/>
    </xf>
    <xf numFmtId="0" fontId="2" fillId="35" borderId="33" xfId="136" applyFill="1" applyBorder="1" applyAlignment="1" applyProtection="1">
      <alignment vertical="top"/>
      <protection hidden="1"/>
    </xf>
    <xf numFmtId="0" fontId="2" fillId="35" borderId="19" xfId="136" applyFill="1" applyBorder="1" applyAlignment="1" applyProtection="1">
      <alignment vertical="top"/>
      <protection hidden="1"/>
    </xf>
    <xf numFmtId="0" fontId="117" fillId="35" borderId="16" xfId="136" applyFont="1" applyFill="1" applyBorder="1" applyAlignment="1" applyProtection="1">
      <alignment horizontal="left" vertical="center" shrinkToFit="1"/>
      <protection hidden="1"/>
    </xf>
    <xf numFmtId="0" fontId="117" fillId="35" borderId="15" xfId="136" applyFont="1" applyFill="1" applyBorder="1" applyAlignment="1" applyProtection="1">
      <alignment horizontal="left" vertical="center" shrinkToFit="1"/>
      <protection hidden="1"/>
    </xf>
    <xf numFmtId="0" fontId="26" fillId="35" borderId="15" xfId="136" applyFont="1" applyFill="1" applyBorder="1" applyAlignment="1" applyProtection="1">
      <alignment horizontal="center" vertical="center"/>
      <protection hidden="1"/>
    </xf>
    <xf numFmtId="0" fontId="26" fillId="35" borderId="25" xfId="136" applyFont="1" applyFill="1" applyBorder="1" applyAlignment="1" applyProtection="1">
      <alignment horizontal="center" vertical="center"/>
      <protection hidden="1"/>
    </xf>
    <xf numFmtId="0" fontId="2" fillId="35" borderId="12" xfId="136" applyFill="1" applyBorder="1" applyAlignment="1" applyProtection="1">
      <alignment vertical="top"/>
      <protection hidden="1"/>
    </xf>
    <xf numFmtId="1" fontId="188" fillId="35" borderId="0" xfId="136" applyNumberFormat="1" applyFont="1" applyFill="1" applyBorder="1" applyAlignment="1" applyProtection="1">
      <alignment vertical="center"/>
      <protection hidden="1"/>
    </xf>
    <xf numFmtId="0" fontId="188" fillId="35" borderId="0" xfId="136" applyFont="1" applyFill="1" applyBorder="1" applyAlignment="1" applyProtection="1">
      <alignment vertical="center"/>
      <protection hidden="1"/>
    </xf>
    <xf numFmtId="1" fontId="26" fillId="35" borderId="15" xfId="136" applyNumberFormat="1" applyFont="1" applyFill="1" applyBorder="1" applyAlignment="1" applyProtection="1">
      <alignment vertical="center"/>
      <protection hidden="1"/>
    </xf>
    <xf numFmtId="0" fontId="2" fillId="35" borderId="15" xfId="137" applyFont="1" applyFill="1" applyBorder="1" applyAlignment="1" applyProtection="1">
      <alignment vertical="center" shrinkToFit="1"/>
      <protection hidden="1"/>
    </xf>
    <xf numFmtId="0" fontId="20" fillId="0" borderId="16" xfId="136" applyFont="1" applyFill="1" applyBorder="1" applyAlignment="1" applyProtection="1">
      <alignment horizontal="left" vertical="center"/>
      <protection hidden="1"/>
    </xf>
    <xf numFmtId="0" fontId="20" fillId="0" borderId="15" xfId="136" applyFont="1" applyFill="1" applyBorder="1" applyAlignment="1" applyProtection="1">
      <alignment horizontal="left" vertical="center"/>
      <protection hidden="1"/>
    </xf>
    <xf numFmtId="0" fontId="20" fillId="0" borderId="25" xfId="136" applyFont="1" applyFill="1" applyBorder="1" applyAlignment="1" applyProtection="1">
      <alignment horizontal="left" vertical="center"/>
      <protection hidden="1"/>
    </xf>
    <xf numFmtId="0" fontId="26" fillId="35" borderId="16" xfId="136" applyFont="1" applyFill="1" applyBorder="1" applyAlignment="1" applyProtection="1">
      <alignment horizontal="right" vertical="center" wrapText="1"/>
      <protection hidden="1"/>
    </xf>
    <xf numFmtId="0" fontId="26" fillId="35" borderId="15" xfId="136" applyFont="1" applyFill="1" applyBorder="1" applyAlignment="1" applyProtection="1">
      <alignment horizontal="right" vertical="center" wrapText="1"/>
      <protection hidden="1"/>
    </xf>
    <xf numFmtId="0" fontId="26" fillId="35" borderId="25" xfId="136" applyFont="1" applyFill="1" applyBorder="1" applyAlignment="1" applyProtection="1">
      <alignment horizontal="right" vertical="center" wrapText="1"/>
      <protection hidden="1"/>
    </xf>
    <xf numFmtId="0" fontId="2" fillId="35" borderId="15" xfId="136" applyFont="1" applyFill="1" applyBorder="1" applyAlignment="1" applyProtection="1">
      <alignment vertical="center" wrapText="1"/>
      <protection hidden="1"/>
    </xf>
    <xf numFmtId="0" fontId="2" fillId="35" borderId="18" xfId="136" applyFill="1" applyBorder="1" applyAlignment="1" applyProtection="1">
      <alignment horizontal="center" vertical="center"/>
      <protection hidden="1"/>
    </xf>
    <xf numFmtId="0" fontId="2" fillId="35" borderId="29" xfId="136" applyFill="1" applyBorder="1" applyAlignment="1" applyProtection="1">
      <alignment vertical="top"/>
      <protection hidden="1"/>
    </xf>
    <xf numFmtId="0" fontId="2" fillId="35" borderId="15" xfId="136" applyFont="1" applyFill="1" applyBorder="1" applyAlignment="1" applyProtection="1">
      <alignment horizontal="center" vertical="top"/>
      <protection hidden="1"/>
    </xf>
    <xf numFmtId="0" fontId="2" fillId="35" borderId="25" xfId="136" applyFont="1" applyFill="1" applyBorder="1" applyAlignment="1" applyProtection="1">
      <alignment horizontal="center" vertical="top"/>
      <protection hidden="1"/>
    </xf>
    <xf numFmtId="0" fontId="2" fillId="35" borderId="16" xfId="136" applyFont="1" applyFill="1" applyBorder="1" applyAlignment="1" applyProtection="1">
      <alignment horizontal="left" vertical="center" shrinkToFit="1"/>
      <protection hidden="1"/>
    </xf>
    <xf numFmtId="0" fontId="2" fillId="35" borderId="15" xfId="136" applyFont="1" applyFill="1" applyBorder="1" applyAlignment="1" applyProtection="1">
      <alignment horizontal="left" vertical="center" shrinkToFit="1"/>
      <protection hidden="1"/>
    </xf>
    <xf numFmtId="0" fontId="2" fillId="35" borderId="25" xfId="136" applyFont="1" applyFill="1" applyBorder="1" applyAlignment="1" applyProtection="1">
      <alignment horizontal="left" vertical="center" shrinkToFit="1"/>
      <protection hidden="1"/>
    </xf>
    <xf numFmtId="0" fontId="2" fillId="35" borderId="16" xfId="136" applyFont="1" applyFill="1" applyBorder="1" applyAlignment="1" applyProtection="1">
      <alignment horizontal="center" vertical="center"/>
      <protection hidden="1"/>
    </xf>
    <xf numFmtId="0" fontId="2" fillId="35" borderId="15" xfId="136" applyFont="1" applyFill="1" applyBorder="1" applyAlignment="1" applyProtection="1">
      <alignment horizontal="center" vertical="center"/>
      <protection hidden="1"/>
    </xf>
    <xf numFmtId="0" fontId="2" fillId="35" borderId="15" xfId="136" applyFont="1" applyFill="1" applyBorder="1" applyAlignment="1" applyProtection="1">
      <alignment vertical="center" shrinkToFit="1"/>
      <protection hidden="1"/>
    </xf>
    <xf numFmtId="0" fontId="2" fillId="35" borderId="25" xfId="136" applyFont="1" applyFill="1" applyBorder="1" applyAlignment="1" applyProtection="1">
      <alignment vertical="center" shrinkToFit="1"/>
      <protection hidden="1"/>
    </xf>
    <xf numFmtId="0" fontId="2" fillId="0" borderId="15" xfId="137" applyFont="1" applyFill="1" applyBorder="1" applyAlignment="1" applyProtection="1">
      <alignment vertical="center" shrinkToFit="1"/>
      <protection hidden="1"/>
    </xf>
    <xf numFmtId="0" fontId="26" fillId="35" borderId="15" xfId="136" applyFont="1" applyFill="1" applyBorder="1" applyAlignment="1" applyProtection="1">
      <alignment horizontal="right" vertical="center" shrinkToFit="1"/>
      <protection hidden="1"/>
    </xf>
    <xf numFmtId="1" fontId="159" fillId="35" borderId="0" xfId="0" applyNumberFormat="1" applyFont="1" applyFill="1" applyBorder="1" applyAlignment="1" applyProtection="1">
      <alignment horizontal="left" vertical="center"/>
    </xf>
    <xf numFmtId="14" fontId="14" fillId="35" borderId="21" xfId="0" applyNumberFormat="1" applyFont="1" applyFill="1" applyBorder="1" applyAlignment="1" applyProtection="1">
      <alignment horizontal="left" vertical="center" shrinkToFit="1"/>
      <protection locked="0"/>
    </xf>
    <xf numFmtId="0" fontId="17" fillId="35" borderId="0" xfId="0" applyFont="1" applyFill="1" applyBorder="1" applyAlignment="1" applyProtection="1">
      <alignment vertical="center"/>
      <protection hidden="1"/>
    </xf>
    <xf numFmtId="0" fontId="3" fillId="35" borderId="34" xfId="0" applyFont="1" applyFill="1" applyBorder="1" applyAlignment="1" applyProtection="1">
      <alignment horizontal="left" vertical="top" indent="1"/>
      <protection locked="0"/>
    </xf>
    <xf numFmtId="0" fontId="3" fillId="35" borderId="35" xfId="0" applyFont="1" applyFill="1" applyBorder="1" applyAlignment="1" applyProtection="1">
      <alignment horizontal="left" vertical="top" indent="1"/>
      <protection locked="0"/>
    </xf>
    <xf numFmtId="0" fontId="3" fillId="35" borderId="36" xfId="0" applyFont="1" applyFill="1" applyBorder="1" applyAlignment="1" applyProtection="1">
      <alignment horizontal="left" vertical="top" indent="1"/>
      <protection locked="0"/>
    </xf>
    <xf numFmtId="0" fontId="2" fillId="35" borderId="34" xfId="0" applyFont="1" applyFill="1" applyBorder="1" applyAlignment="1" applyProtection="1">
      <alignment horizontal="right" vertical="top" indent="1" shrinkToFit="1"/>
      <protection locked="0"/>
    </xf>
    <xf numFmtId="0" fontId="2" fillId="35" borderId="35" xfId="0" applyFont="1" applyFill="1" applyBorder="1" applyAlignment="1" applyProtection="1">
      <alignment horizontal="right" vertical="top" indent="1" shrinkToFit="1"/>
      <protection locked="0"/>
    </xf>
    <xf numFmtId="0" fontId="2" fillId="35" borderId="36" xfId="0" applyFont="1" applyFill="1" applyBorder="1" applyAlignment="1" applyProtection="1">
      <alignment horizontal="right" vertical="top" indent="1" shrinkToFit="1"/>
      <protection locked="0"/>
    </xf>
    <xf numFmtId="0" fontId="7" fillId="35" borderId="34" xfId="0" applyFont="1" applyFill="1" applyBorder="1" applyAlignment="1" applyProtection="1">
      <alignment horizontal="right" vertical="top" indent="1" shrinkToFit="1"/>
      <protection locked="0"/>
    </xf>
    <xf numFmtId="0" fontId="7" fillId="35" borderId="35" xfId="0" applyFont="1" applyFill="1" applyBorder="1" applyAlignment="1" applyProtection="1">
      <alignment horizontal="right" vertical="top" indent="1" shrinkToFit="1"/>
      <protection locked="0"/>
    </xf>
    <xf numFmtId="0" fontId="7" fillId="35" borderId="36" xfId="0" applyFont="1" applyFill="1" applyBorder="1" applyAlignment="1" applyProtection="1">
      <alignment horizontal="right" vertical="top" indent="1" shrinkToFit="1"/>
      <protection locked="0"/>
    </xf>
    <xf numFmtId="0" fontId="2" fillId="35" borderId="34" xfId="0" applyFont="1" applyFill="1" applyBorder="1" applyAlignment="1" applyProtection="1">
      <alignment horizontal="center" vertical="top" shrinkToFit="1"/>
      <protection hidden="1"/>
    </xf>
    <xf numFmtId="0" fontId="2" fillId="35" borderId="35" xfId="0" applyFont="1" applyFill="1" applyBorder="1" applyAlignment="1" applyProtection="1">
      <alignment horizontal="center" vertical="top" shrinkToFit="1"/>
      <protection hidden="1"/>
    </xf>
    <xf numFmtId="0" fontId="2" fillId="35" borderId="36" xfId="0" applyFont="1" applyFill="1" applyBorder="1" applyAlignment="1" applyProtection="1">
      <alignment horizontal="center" vertical="top" shrinkToFit="1"/>
      <protection hidden="1"/>
    </xf>
    <xf numFmtId="0" fontId="3" fillId="35" borderId="34" xfId="0" applyFont="1" applyFill="1" applyBorder="1" applyAlignment="1" applyProtection="1">
      <alignment horizontal="right" vertical="top" indent="1"/>
      <protection locked="0"/>
    </xf>
    <xf numFmtId="0" fontId="3" fillId="35" borderId="35" xfId="0" applyFont="1" applyFill="1" applyBorder="1" applyAlignment="1" applyProtection="1">
      <alignment horizontal="right" vertical="top" indent="1"/>
      <protection locked="0"/>
    </xf>
    <xf numFmtId="0" fontId="3" fillId="35" borderId="36" xfId="0" applyFont="1" applyFill="1" applyBorder="1" applyAlignment="1" applyProtection="1">
      <alignment horizontal="right" vertical="top" indent="1"/>
      <protection locked="0"/>
    </xf>
    <xf numFmtId="0" fontId="3" fillId="35" borderId="34" xfId="0" applyFont="1" applyFill="1" applyBorder="1" applyAlignment="1" applyProtection="1">
      <alignment horizontal="left" vertical="top" wrapText="1" indent="1"/>
      <protection locked="0"/>
    </xf>
    <xf numFmtId="0" fontId="0" fillId="0" borderId="35" xfId="0" applyBorder="1" applyAlignment="1">
      <alignment horizontal="left" vertical="top" indent="1"/>
    </xf>
    <xf numFmtId="0" fontId="0" fillId="0" borderId="36" xfId="0" applyBorder="1" applyAlignment="1">
      <alignment horizontal="left" vertical="top" indent="1"/>
    </xf>
    <xf numFmtId="0" fontId="118" fillId="35" borderId="0" xfId="0" applyFont="1" applyFill="1" applyBorder="1" applyAlignment="1" applyProtection="1">
      <alignment horizontal="center" vertical="center" shrinkToFit="1"/>
      <protection locked="0"/>
    </xf>
    <xf numFmtId="0" fontId="3" fillId="35" borderId="0" xfId="0" applyFont="1" applyFill="1" applyBorder="1" applyAlignment="1" applyProtection="1">
      <alignment vertical="center" shrinkToFit="1"/>
      <protection hidden="1"/>
    </xf>
    <xf numFmtId="0" fontId="14" fillId="35" borderId="0" xfId="0" applyFont="1" applyFill="1" applyBorder="1" applyAlignment="1" applyProtection="1">
      <alignment horizontal="center" vertical="center" shrinkToFit="1"/>
      <protection locked="0"/>
    </xf>
    <xf numFmtId="0" fontId="100" fillId="35" borderId="0" xfId="0" applyFont="1" applyFill="1" applyBorder="1" applyAlignment="1" applyProtection="1">
      <alignment horizontal="left" vertical="center" shrinkToFit="1"/>
      <protection hidden="1"/>
    </xf>
    <xf numFmtId="0" fontId="3" fillId="35" borderId="15" xfId="0" applyFont="1" applyFill="1" applyBorder="1" applyAlignment="1" applyProtection="1">
      <alignment horizontal="center" vertical="center"/>
      <protection hidden="1"/>
    </xf>
    <xf numFmtId="0" fontId="178" fillId="35" borderId="16" xfId="0" applyFont="1" applyFill="1" applyBorder="1" applyAlignment="1" applyProtection="1">
      <alignment horizontal="center" vertical="top"/>
      <protection hidden="1"/>
    </xf>
    <xf numFmtId="0" fontId="178" fillId="35" borderId="15" xfId="0" applyFont="1" applyFill="1" applyBorder="1" applyAlignment="1" applyProtection="1">
      <alignment horizontal="center" vertical="top"/>
      <protection hidden="1"/>
    </xf>
    <xf numFmtId="0" fontId="178" fillId="35" borderId="25" xfId="0" applyFont="1" applyFill="1" applyBorder="1" applyAlignment="1" applyProtection="1">
      <alignment horizontal="center" vertical="top"/>
      <protection hidden="1"/>
    </xf>
    <xf numFmtId="0" fontId="14" fillId="35" borderId="1" xfId="0" applyFont="1" applyFill="1" applyBorder="1" applyAlignment="1" applyProtection="1">
      <alignment horizontal="center" vertical="top"/>
      <protection locked="0"/>
    </xf>
    <xf numFmtId="0" fontId="26" fillId="35" borderId="0" xfId="0" applyFont="1" applyFill="1" applyBorder="1" applyAlignment="1" applyProtection="1">
      <alignment vertical="center"/>
      <protection hidden="1"/>
    </xf>
    <xf numFmtId="0" fontId="122" fillId="0" borderId="58" xfId="131" applyFont="1" applyBorder="1" applyAlignment="1" applyProtection="1">
      <alignment horizontal="center" vertical="center"/>
    </xf>
    <xf numFmtId="0" fontId="122" fillId="0" borderId="52" xfId="131" applyFont="1" applyBorder="1" applyAlignment="1" applyProtection="1">
      <alignment horizontal="center" vertical="center"/>
    </xf>
    <xf numFmtId="0" fontId="122" fillId="0" borderId="58" xfId="131" applyFont="1" applyBorder="1" applyAlignment="1" applyProtection="1">
      <alignment horizontal="center" vertical="center" wrapText="1"/>
    </xf>
    <xf numFmtId="0" fontId="122" fillId="0" borderId="52" xfId="131" applyFont="1" applyBorder="1" applyAlignment="1" applyProtection="1">
      <alignment horizontal="center" vertical="center" wrapText="1"/>
    </xf>
    <xf numFmtId="0" fontId="116" fillId="37" borderId="0" xfId="131" applyFont="1" applyFill="1" applyBorder="1" applyAlignment="1" applyProtection="1">
      <alignment horizontal="center" vertical="center"/>
    </xf>
    <xf numFmtId="0" fontId="117" fillId="0" borderId="34" xfId="131" applyFont="1" applyBorder="1" applyAlignment="1" applyProtection="1">
      <alignment horizontal="center" vertical="center" wrapText="1"/>
    </xf>
    <xf numFmtId="0" fontId="117" fillId="0" borderId="35" xfId="131" applyFont="1" applyBorder="1" applyAlignment="1" applyProtection="1">
      <alignment horizontal="center" vertical="center" wrapText="1"/>
    </xf>
    <xf numFmtId="0" fontId="117" fillId="0" borderId="36" xfId="131" applyFont="1" applyBorder="1" applyAlignment="1" applyProtection="1">
      <alignment horizontal="center" vertical="center" wrapText="1"/>
    </xf>
    <xf numFmtId="0" fontId="13" fillId="37" borderId="0" xfId="114" applyFont="1" applyFill="1" applyBorder="1" applyAlignment="1" applyProtection="1">
      <alignment horizontal="center" vertical="center" wrapText="1"/>
    </xf>
    <xf numFmtId="0" fontId="188" fillId="0" borderId="0" xfId="0" applyFont="1" applyAlignment="1" applyProtection="1">
      <alignment vertical="top"/>
      <protection hidden="1"/>
    </xf>
    <xf numFmtId="0" fontId="189" fillId="0" borderId="0" xfId="0" applyFont="1" applyProtection="1">
      <protection hidden="1"/>
    </xf>
    <xf numFmtId="0" fontId="189" fillId="0" borderId="0" xfId="0" applyFont="1" applyFill="1" applyProtection="1">
      <protection hidden="1"/>
    </xf>
    <xf numFmtId="0" fontId="190" fillId="0" borderId="0" xfId="0" applyFont="1" applyAlignment="1" applyProtection="1">
      <alignment vertical="top"/>
      <protection hidden="1"/>
    </xf>
    <xf numFmtId="0" fontId="191" fillId="0" borderId="0" xfId="0" applyFont="1" applyAlignment="1" applyProtection="1">
      <alignment vertical="top"/>
      <protection hidden="1"/>
    </xf>
    <xf numFmtId="0" fontId="188" fillId="0" borderId="0" xfId="0" applyFont="1" applyBorder="1" applyAlignment="1" applyProtection="1">
      <alignment vertical="top"/>
      <protection hidden="1"/>
    </xf>
    <xf numFmtId="0" fontId="188" fillId="0" borderId="0" xfId="0" applyFont="1" applyFill="1" applyBorder="1" applyAlignment="1" applyProtection="1">
      <alignment vertical="top"/>
      <protection hidden="1"/>
    </xf>
    <xf numFmtId="0" fontId="192" fillId="0" borderId="0" xfId="0" applyFont="1" applyBorder="1" applyAlignment="1" applyProtection="1">
      <alignment vertical="top"/>
      <protection hidden="1"/>
    </xf>
  </cellXfs>
  <cellStyles count="173">
    <cellStyle name="20% - Accent1" xfId="1" builtinId="30" customBuiltin="1"/>
    <cellStyle name="20% - Accent1 2" xfId="2"/>
    <cellStyle name="20% - Accent2" xfId="3" builtinId="34" customBuiltin="1"/>
    <cellStyle name="20% - Accent2 2" xfId="4"/>
    <cellStyle name="20% - Accent3" xfId="5" builtinId="38" customBuiltin="1"/>
    <cellStyle name="20% - Accent3 2" xfId="6"/>
    <cellStyle name="20% - Accent4" xfId="7" builtinId="42" customBuiltin="1"/>
    <cellStyle name="20% - Accent4 2" xfId="8"/>
    <cellStyle name="20% - Accent5" xfId="9" builtinId="46" customBuiltin="1"/>
    <cellStyle name="20% - Accent5 2" xfId="10"/>
    <cellStyle name="20% - Accent6" xfId="11" builtinId="50" customBuiltin="1"/>
    <cellStyle name="20% - Accent6 2" xfId="12"/>
    <cellStyle name="40% - Accent1" xfId="13" builtinId="31" customBuiltin="1"/>
    <cellStyle name="40% - Accent1 2" xfId="14"/>
    <cellStyle name="40% - Accent2" xfId="15" builtinId="35" customBuiltin="1"/>
    <cellStyle name="40% - Accent2 2" xfId="16"/>
    <cellStyle name="40% - Accent3" xfId="17" builtinId="39" customBuiltin="1"/>
    <cellStyle name="40% - Accent3 2" xfId="18"/>
    <cellStyle name="40% - Accent4" xfId="19" builtinId="43" customBuiltin="1"/>
    <cellStyle name="40% - Accent4 2" xfId="20"/>
    <cellStyle name="40% - Accent5" xfId="21" builtinId="47" customBuiltin="1"/>
    <cellStyle name="40% - Accent5 2" xfId="22"/>
    <cellStyle name="40% - Accent6" xfId="23" builtinId="51" customBuiltin="1"/>
    <cellStyle name="40% - Accent6 2" xfId="24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1 - 20%" xfId="32"/>
    <cellStyle name="Accent1 - 20% 2" xfId="33"/>
    <cellStyle name="Accent1 - 20%_Earning- Salary" xfId="34"/>
    <cellStyle name="Accent1 - 40%" xfId="35"/>
    <cellStyle name="Accent1 - 40% 2" xfId="36"/>
    <cellStyle name="Accent1 - 40%_Earning- Salary" xfId="37"/>
    <cellStyle name="Accent1 - 60%" xfId="38"/>
    <cellStyle name="Accent2" xfId="39" builtinId="33" customBuiltin="1"/>
    <cellStyle name="Accent2 - 20%" xfId="40"/>
    <cellStyle name="Accent2 - 20% 2" xfId="41"/>
    <cellStyle name="Accent2 - 20%_Earning- Salary" xfId="42"/>
    <cellStyle name="Accent2 - 40%" xfId="43"/>
    <cellStyle name="Accent2 - 40% 2" xfId="44"/>
    <cellStyle name="Accent2 - 40%_Earning- Salary" xfId="45"/>
    <cellStyle name="Accent2 - 60%" xfId="46"/>
    <cellStyle name="Accent3" xfId="47" builtinId="37" customBuiltin="1"/>
    <cellStyle name="Accent3 - 20%" xfId="48"/>
    <cellStyle name="Accent3 - 20% 2" xfId="49"/>
    <cellStyle name="Accent3 - 20%_Earning- Salary" xfId="50"/>
    <cellStyle name="Accent3 - 40%" xfId="51"/>
    <cellStyle name="Accent3 - 40% 2" xfId="52"/>
    <cellStyle name="Accent3 - 40%_Earning- Salary" xfId="53"/>
    <cellStyle name="Accent3 - 60%" xfId="54"/>
    <cellStyle name="Accent4" xfId="55" builtinId="41" customBuiltin="1"/>
    <cellStyle name="Accent4 - 20%" xfId="56"/>
    <cellStyle name="Accent4 - 20% 2" xfId="57"/>
    <cellStyle name="Accent4 - 20%_Earning- Salary" xfId="58"/>
    <cellStyle name="Accent4 - 40%" xfId="59"/>
    <cellStyle name="Accent4 - 40% 2" xfId="60"/>
    <cellStyle name="Accent4 - 40%_Earning- Salary" xfId="61"/>
    <cellStyle name="Accent4 - 60%" xfId="62"/>
    <cellStyle name="Accent5" xfId="63" builtinId="45" customBuiltin="1"/>
    <cellStyle name="Accent5 - 20%" xfId="64"/>
    <cellStyle name="Accent5 - 20% 2" xfId="65"/>
    <cellStyle name="Accent5 - 20%_Earning- Salary" xfId="66"/>
    <cellStyle name="Accent5 - 40%" xfId="67"/>
    <cellStyle name="Accent5 - 40% 2" xfId="68"/>
    <cellStyle name="Accent5 - 40%_Earning- Salary" xfId="69"/>
    <cellStyle name="Accent5 - 60%" xfId="70"/>
    <cellStyle name="Accent6" xfId="71" builtinId="49" customBuiltin="1"/>
    <cellStyle name="Accent6 - 20%" xfId="72"/>
    <cellStyle name="Accent6 - 20% 2" xfId="73"/>
    <cellStyle name="Accent6 - 20%_Earning- Salary" xfId="74"/>
    <cellStyle name="Accent6 - 40%" xfId="75"/>
    <cellStyle name="Accent6 - 40% 2" xfId="76"/>
    <cellStyle name="Accent6 - 40%_Earning- Salary" xfId="77"/>
    <cellStyle name="Accent6 - 60%" xfId="78"/>
    <cellStyle name="AeE­ [0]_INQUIRY ¿μ¾÷AßAø " xfId="79"/>
    <cellStyle name="AeE­_INQUIRY ¿μ¾÷AßAø " xfId="80"/>
    <cellStyle name="AÞ¸¶ [0]_INQUIRY ¿?¾÷AßAø " xfId="81"/>
    <cellStyle name="AÞ¸¶_INQUIRY ¿?¾÷AßAø " xfId="82"/>
    <cellStyle name="Bad" xfId="83" builtinId="27" customBuiltin="1"/>
    <cellStyle name="Black" xfId="84"/>
    <cellStyle name="Border" xfId="85"/>
    <cellStyle name="C?AØ_¿?¾÷CoE² " xfId="86"/>
    <cellStyle name="C￥AØ_¿μ¾÷CoE² " xfId="87"/>
    <cellStyle name="Calculation" xfId="88" builtinId="22" customBuiltin="1"/>
    <cellStyle name="Check Cell" xfId="89" builtinId="23" customBuiltin="1"/>
    <cellStyle name="Comma 2" xfId="90"/>
    <cellStyle name="Comma 3" xfId="91"/>
    <cellStyle name="Comma 4" xfId="92"/>
    <cellStyle name="Comma 5" xfId="93"/>
    <cellStyle name="Comma 6" xfId="94"/>
    <cellStyle name="Comma 7" xfId="95"/>
    <cellStyle name="Comma_Copy of New-Form-16-AY-11-12" xfId="96"/>
    <cellStyle name="Comma0" xfId="97"/>
    <cellStyle name="Currency0" xfId="98"/>
    <cellStyle name="Date" xfId="99"/>
    <cellStyle name="Dezimal [0]_laroux" xfId="100"/>
    <cellStyle name="Dezimal_laroux" xfId="101"/>
    <cellStyle name="Emphasis 1" xfId="102"/>
    <cellStyle name="Emphasis 2" xfId="103"/>
    <cellStyle name="Emphasis 3" xfId="104"/>
    <cellStyle name="Euro" xfId="105"/>
    <cellStyle name="Explanatory Text" xfId="106" builtinId="53" customBuiltin="1"/>
    <cellStyle name="Fixed" xfId="107"/>
    <cellStyle name="Good" xfId="108" builtinId="26" customBuiltin="1"/>
    <cellStyle name="Grey" xfId="109"/>
    <cellStyle name="Heading 1" xfId="110" builtinId="16" customBuiltin="1"/>
    <cellStyle name="Heading 2" xfId="111" builtinId="17" customBuiltin="1"/>
    <cellStyle name="Heading 3" xfId="112" builtinId="18" customBuiltin="1"/>
    <cellStyle name="Heading 4" xfId="113" builtinId="19" customBuiltin="1"/>
    <cellStyle name="Hyperlink" xfId="114" builtinId="8"/>
    <cellStyle name="Input" xfId="115" builtinId="20" customBuiltin="1"/>
    <cellStyle name="Input [yellow]" xfId="116"/>
    <cellStyle name="Linked Cell" xfId="117" builtinId="24" customBuiltin="1"/>
    <cellStyle name="Milliers [0]_laroux" xfId="118"/>
    <cellStyle name="Milliers_laroux" xfId="119"/>
    <cellStyle name="Neutral" xfId="120" builtinId="28" customBuiltin="1"/>
    <cellStyle name="Non défini" xfId="121"/>
    <cellStyle name="Normal" xfId="0" builtinId="0"/>
    <cellStyle name="Normal - Style1" xfId="122"/>
    <cellStyle name="Normal 2" xfId="123"/>
    <cellStyle name="Normal 3" xfId="124"/>
    <cellStyle name="Normal 4" xfId="125"/>
    <cellStyle name="Normal 5" xfId="126"/>
    <cellStyle name="Normal 5 2" xfId="127"/>
    <cellStyle name="Normal 5_Earning- Salary" xfId="128"/>
    <cellStyle name="Normal 6" xfId="129"/>
    <cellStyle name="Normal 7" xfId="130"/>
    <cellStyle name="Normal_Copy of New-Form-16-AY-11-12" xfId="131"/>
    <cellStyle name="Normal_Emp PA Register" xfId="132"/>
    <cellStyle name="Normal_I T 2006_New" xfId="133"/>
    <cellStyle name="Normal_I T 2006_New_Emp PA Register" xfId="134"/>
    <cellStyle name="Normal_I T 2006_New_Income Tax Calculation 2018 Ver_1Edit" xfId="135"/>
    <cellStyle name="Normal_I T 2006_New_IT_Y10_Y11_2011_With Form 10 E_Final &amp; Proposed Calculation" xfId="136"/>
    <cellStyle name="Normal_I T 2006_New_IT_Y20_Y21_Ver_1" xfId="137"/>
    <cellStyle name="Normal_Kirit Patel" xfId="138"/>
    <cellStyle name="Note" xfId="139" builtinId="10" customBuiltin="1"/>
    <cellStyle name="Note 2" xfId="140"/>
    <cellStyle name="Note 3" xfId="141"/>
    <cellStyle name="Note 4" xfId="142"/>
    <cellStyle name="Note 5" xfId="143"/>
    <cellStyle name="Output" xfId="144" builtinId="21" customBuiltin="1"/>
    <cellStyle name="Percent [2]" xfId="145"/>
    <cellStyle name="Percent 2" xfId="146"/>
    <cellStyle name="Percent 3" xfId="147"/>
    <cellStyle name="Percent 4" xfId="148"/>
    <cellStyle name="Percent 5" xfId="149"/>
    <cellStyle name="Red" xfId="150"/>
    <cellStyle name="Sheet Title" xfId="151"/>
    <cellStyle name="Style 1" xfId="152"/>
    <cellStyle name="Style 1 2" xfId="153"/>
    <cellStyle name="Style 1 3" xfId="154"/>
    <cellStyle name="Style 1 4" xfId="155"/>
    <cellStyle name="Style 1 5" xfId="156"/>
    <cellStyle name="Title" xfId="157" builtinId="15" customBuiltin="1"/>
    <cellStyle name="Total" xfId="158" builtinId="25" customBuiltin="1"/>
    <cellStyle name="Währung [0]_RESULTS" xfId="159"/>
    <cellStyle name="Währung_RESULTS" xfId="160"/>
    <cellStyle name="Warning Text" xfId="161" builtinId="11" customBuiltin="1"/>
    <cellStyle name="똿뗦먛귟 [0.00]_PRODUCT DETAIL Q1" xfId="162"/>
    <cellStyle name="똿뗦먛귟_PRODUCT DETAIL Q1" xfId="163"/>
    <cellStyle name="믅됞 [0.00]_PRODUCT DETAIL Q1" xfId="164"/>
    <cellStyle name="믅됞_PRODUCT DETAIL Q1" xfId="165"/>
    <cellStyle name="백분율_HOBONG" xfId="166"/>
    <cellStyle name="뷭?_BOOKSHIP" xfId="167"/>
    <cellStyle name="콤마 [0]_1202" xfId="168"/>
    <cellStyle name="콤마_1202" xfId="169"/>
    <cellStyle name="통화 [0]_1202" xfId="170"/>
    <cellStyle name="통화_1202" xfId="171"/>
    <cellStyle name="표준_(정보부문)월별인원계획" xfId="17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15</xdr:row>
      <xdr:rowOff>238125</xdr:rowOff>
    </xdr:from>
    <xdr:to>
      <xdr:col>3</xdr:col>
      <xdr:colOff>1704975</xdr:colOff>
      <xdr:row>24</xdr:row>
      <xdr:rowOff>38100</xdr:rowOff>
    </xdr:to>
    <xdr:sp macro="" textlink="">
      <xdr:nvSpPr>
        <xdr:cNvPr id="21519" name="AutoShape 46" descr="Cyber_IC_IT"/>
        <xdr:cNvSpPr>
          <a:spLocks noChangeArrowheads="1"/>
        </xdr:cNvSpPr>
      </xdr:nvSpPr>
      <xdr:spPr bwMode="auto">
        <a:xfrm>
          <a:off x="9525" y="4419600"/>
          <a:ext cx="3981450" cy="1724025"/>
        </a:xfrm>
        <a:prstGeom prst="roundRect">
          <a:avLst>
            <a:gd name="adj" fmla="val 2532"/>
          </a:avLst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114300</xdr:colOff>
      <xdr:row>13</xdr:row>
      <xdr:rowOff>95250</xdr:rowOff>
    </xdr:from>
    <xdr:to>
      <xdr:col>11</xdr:col>
      <xdr:colOff>38100</xdr:colOff>
      <xdr:row>17</xdr:row>
      <xdr:rowOff>238125</xdr:rowOff>
    </xdr:to>
    <xdr:pic>
      <xdr:nvPicPr>
        <xdr:cNvPr id="8253" name="Picture 122" descr="Cyber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15250" y="3305175"/>
          <a:ext cx="16097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38100</xdr:rowOff>
    </xdr:from>
    <xdr:to>
      <xdr:col>2</xdr:col>
      <xdr:colOff>133350</xdr:colOff>
      <xdr:row>17</xdr:row>
      <xdr:rowOff>180975</xdr:rowOff>
    </xdr:to>
    <xdr:pic>
      <xdr:nvPicPr>
        <xdr:cNvPr id="8254" name="Picture 122" descr="Cyber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248025"/>
          <a:ext cx="16097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9</xdr:row>
      <xdr:rowOff>123825</xdr:rowOff>
    </xdr:from>
    <xdr:to>
      <xdr:col>20</xdr:col>
      <xdr:colOff>66675</xdr:colOff>
      <xdr:row>16</xdr:row>
      <xdr:rowOff>152400</xdr:rowOff>
    </xdr:to>
    <xdr:sp macro="" textlink="">
      <xdr:nvSpPr>
        <xdr:cNvPr id="22557" name="AutoShape 20"/>
        <xdr:cNvSpPr>
          <a:spLocks noChangeArrowheads="1"/>
        </xdr:cNvSpPr>
      </xdr:nvSpPr>
      <xdr:spPr bwMode="auto">
        <a:xfrm>
          <a:off x="257175" y="1743075"/>
          <a:ext cx="3771900" cy="1085850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20</xdr:col>
      <xdr:colOff>123825</xdr:colOff>
      <xdr:row>9</xdr:row>
      <xdr:rowOff>114300</xdr:rowOff>
    </xdr:from>
    <xdr:to>
      <xdr:col>40</xdr:col>
      <xdr:colOff>76200</xdr:colOff>
      <xdr:row>16</xdr:row>
      <xdr:rowOff>142875</xdr:rowOff>
    </xdr:to>
    <xdr:sp macro="" textlink="">
      <xdr:nvSpPr>
        <xdr:cNvPr id="22558" name="AutoShape 21"/>
        <xdr:cNvSpPr>
          <a:spLocks noChangeArrowheads="1"/>
        </xdr:cNvSpPr>
      </xdr:nvSpPr>
      <xdr:spPr bwMode="auto">
        <a:xfrm>
          <a:off x="4086225" y="1743075"/>
          <a:ext cx="3819525" cy="1076325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10</xdr:row>
      <xdr:rowOff>190500</xdr:rowOff>
    </xdr:from>
    <xdr:to>
      <xdr:col>20</xdr:col>
      <xdr:colOff>76200</xdr:colOff>
      <xdr:row>16</xdr:row>
      <xdr:rowOff>142875</xdr:rowOff>
    </xdr:to>
    <xdr:sp macro="" textlink="">
      <xdr:nvSpPr>
        <xdr:cNvPr id="23581" name="AutoShape 20"/>
        <xdr:cNvSpPr>
          <a:spLocks noChangeArrowheads="1"/>
        </xdr:cNvSpPr>
      </xdr:nvSpPr>
      <xdr:spPr bwMode="auto">
        <a:xfrm>
          <a:off x="304800" y="1933575"/>
          <a:ext cx="3429000" cy="885825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20</xdr:col>
      <xdr:colOff>180975</xdr:colOff>
      <xdr:row>10</xdr:row>
      <xdr:rowOff>180975</xdr:rowOff>
    </xdr:from>
    <xdr:to>
      <xdr:col>39</xdr:col>
      <xdr:colOff>19050</xdr:colOff>
      <xdr:row>17</xdr:row>
      <xdr:rowOff>19050</xdr:rowOff>
    </xdr:to>
    <xdr:sp macro="" textlink="">
      <xdr:nvSpPr>
        <xdr:cNvPr id="23582" name="AutoShape 20"/>
        <xdr:cNvSpPr>
          <a:spLocks noChangeArrowheads="1"/>
        </xdr:cNvSpPr>
      </xdr:nvSpPr>
      <xdr:spPr bwMode="auto">
        <a:xfrm>
          <a:off x="3838575" y="1924050"/>
          <a:ext cx="3238500" cy="942975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~1/Cyber/LOCALS~1/Temp/WINDOWS/MSOFFICE/EXCEL/ITRETUR/ITFIRM/FORMA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/New%20Folder/DATA/ICOM%20TAX/ITR%20FORMS/ITR2_Ver2.1/ITR2_DN14%20(un%20protected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~1/COMDP1/LOCALS~1/Temp/I-Tax-Calculator-F-Y-10-1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~1/Cyber/LOCALS~1/Temp/HARI%20DOCUMENTS/CLINT%20FILES/TAX%20AUDIT%20FORLDER/COMPANIES/ASSESST.%20YEAR%2006-07/GAYATRI%20TIMBER%20(P)%20LTD.,/FIN.%20STATEMEN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My%20Documents/IT%202011/IT_Y10_Y11_Sahaj_11_12_Kiri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MAT"/>
    </sheetNames>
    <definedNames>
      <definedName name="Button3_Click" refersTo="#REF!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Index"/>
      <sheetName val="PART A - GENERAL"/>
      <sheetName val="PARTB - TI - TTI"/>
      <sheetName val="HOUSE_PROPERTY"/>
      <sheetName val="CG-OS"/>
      <sheetName val="CYLA-BFLA"/>
      <sheetName val="CFL"/>
      <sheetName val="VIA"/>
      <sheetName val="SPI - SI"/>
      <sheetName val="EI"/>
      <sheetName val="AIR-IT"/>
      <sheetName val="TDS"/>
      <sheetName val="Instructions"/>
      <sheetName val="Pre_XML"/>
    </sheetNames>
    <sheetDataSet>
      <sheetData sheetId="0"/>
      <sheetData sheetId="1"/>
      <sheetData sheetId="2">
        <row r="1">
          <cell r="BH1" t="str">
            <v>01-ANDAMAN AND NICOBAR ISLANDS</v>
          </cell>
        </row>
        <row r="2">
          <cell r="BH2" t="str">
            <v>02-ANDHRA PRADESH</v>
          </cell>
        </row>
        <row r="3">
          <cell r="BH3" t="str">
            <v>03-ARUNACHAL PRADESH</v>
          </cell>
        </row>
        <row r="4">
          <cell r="BH4" t="str">
            <v>04-ASSAM</v>
          </cell>
        </row>
        <row r="5">
          <cell r="BH5" t="str">
            <v>05-BIHAR</v>
          </cell>
        </row>
        <row r="6">
          <cell r="BH6" t="str">
            <v>06-CHANDIGARH</v>
          </cell>
        </row>
        <row r="7">
          <cell r="BH7" t="str">
            <v>07-DADRA AND NAGAR HAVELI</v>
          </cell>
        </row>
        <row r="8">
          <cell r="BH8" t="str">
            <v>08-DAMAN AND DIU</v>
          </cell>
        </row>
        <row r="9">
          <cell r="BH9" t="str">
            <v>09-DELHI</v>
          </cell>
        </row>
        <row r="10">
          <cell r="BH10" t="str">
            <v>10-GOA</v>
          </cell>
        </row>
        <row r="11">
          <cell r="BH11" t="str">
            <v>11-GUJARAT</v>
          </cell>
        </row>
        <row r="12">
          <cell r="BH12" t="str">
            <v>12-HARYANA</v>
          </cell>
        </row>
        <row r="13">
          <cell r="BH13" t="str">
            <v>13-HIMACHAL PRADESH</v>
          </cell>
        </row>
        <row r="14">
          <cell r="BH14" t="str">
            <v>14-JAMMU AND KASHMIR</v>
          </cell>
        </row>
        <row r="15">
          <cell r="BH15" t="str">
            <v>15-KARNATAKA</v>
          </cell>
        </row>
        <row r="16">
          <cell r="BH16" t="str">
            <v>16-KERALA</v>
          </cell>
        </row>
        <row r="17">
          <cell r="BH17" t="str">
            <v>17-LAKHSWADEEP</v>
          </cell>
        </row>
        <row r="18">
          <cell r="BH18" t="str">
            <v>18-MADHYA PRADESH</v>
          </cell>
        </row>
        <row r="19">
          <cell r="BH19" t="str">
            <v>19-MAHARASHTRA</v>
          </cell>
        </row>
        <row r="20">
          <cell r="BH20" t="str">
            <v>20-MANIPUR</v>
          </cell>
        </row>
        <row r="21">
          <cell r="BH21" t="str">
            <v>21-MEGHALAYA</v>
          </cell>
        </row>
        <row r="22">
          <cell r="BH22" t="str">
            <v>22-MIZORAM</v>
          </cell>
        </row>
        <row r="23">
          <cell r="BH23" t="str">
            <v>23-NAGALAND</v>
          </cell>
        </row>
        <row r="24">
          <cell r="BH24" t="str">
            <v>24-ORISSA</v>
          </cell>
        </row>
        <row r="25">
          <cell r="BH25" t="str">
            <v>25-PONDICHERRY</v>
          </cell>
        </row>
        <row r="26">
          <cell r="BH26" t="str">
            <v>26-PUNJAB</v>
          </cell>
        </row>
        <row r="27">
          <cell r="BH27" t="str">
            <v>27-RAJASTHAN</v>
          </cell>
        </row>
        <row r="28">
          <cell r="BH28" t="str">
            <v>28-SIKKIM</v>
          </cell>
        </row>
        <row r="29">
          <cell r="BH29" t="str">
            <v>29-TAMILNADU</v>
          </cell>
        </row>
        <row r="30">
          <cell r="BH30" t="str">
            <v>30-TRIPURA</v>
          </cell>
        </row>
        <row r="31">
          <cell r="BH31" t="str">
            <v>31-UTTAR PRADESH</v>
          </cell>
        </row>
        <row r="32">
          <cell r="BH32" t="str">
            <v>32-WEST BENGAL</v>
          </cell>
        </row>
        <row r="33">
          <cell r="BH33" t="str">
            <v>33-CHHATISHGARH</v>
          </cell>
        </row>
        <row r="34">
          <cell r="BH34" t="str">
            <v>34-UTTARANCHAL</v>
          </cell>
        </row>
        <row r="35">
          <cell r="BH35" t="str">
            <v>35-JHARKHAND</v>
          </cell>
        </row>
        <row r="36">
          <cell r="BH36" t="str">
            <v>99-FOREIGN</v>
          </cell>
        </row>
      </sheetData>
      <sheetData sheetId="3">
        <row r="62">
          <cell r="M62" t="str">
            <v>SAVINGS</v>
          </cell>
          <cell r="N62" t="str">
            <v>YES</v>
          </cell>
        </row>
        <row r="63">
          <cell r="M63" t="str">
            <v>CURRENT</v>
          </cell>
          <cell r="N63" t="str">
            <v>NO</v>
          </cell>
        </row>
        <row r="141">
          <cell r="A141" t="str">
            <v>01-ANDAMAN AND NICOBAR ISLANDS</v>
          </cell>
        </row>
        <row r="142">
          <cell r="A142" t="str">
            <v>02-ANDHRA PRADESH</v>
          </cell>
        </row>
        <row r="143">
          <cell r="A143" t="str">
            <v>03-ARUNACHAL PRADESH</v>
          </cell>
        </row>
        <row r="144">
          <cell r="A144" t="str">
            <v>04-ASSAM</v>
          </cell>
        </row>
        <row r="145">
          <cell r="A145" t="str">
            <v>05-BIHAR</v>
          </cell>
        </row>
        <row r="146">
          <cell r="A146" t="str">
            <v>06-CHANDIGARH</v>
          </cell>
        </row>
        <row r="147">
          <cell r="A147" t="str">
            <v>07-DADRA AND NAGAR HAVELI</v>
          </cell>
        </row>
        <row r="148">
          <cell r="A148" t="str">
            <v>08-DAMAN AND DIU</v>
          </cell>
        </row>
        <row r="149">
          <cell r="A149" t="str">
            <v>09-DELHI</v>
          </cell>
        </row>
        <row r="150">
          <cell r="A150" t="str">
            <v>10-GOA</v>
          </cell>
        </row>
        <row r="151">
          <cell r="A151" t="str">
            <v>11-GUJARAT</v>
          </cell>
        </row>
        <row r="152">
          <cell r="A152" t="str">
            <v>12-HARYANA</v>
          </cell>
        </row>
        <row r="153">
          <cell r="A153" t="str">
            <v>13-HIMACHAL PRADESH</v>
          </cell>
        </row>
        <row r="154">
          <cell r="A154" t="str">
            <v>14-JAMMU AND KASHMIR</v>
          </cell>
        </row>
        <row r="155">
          <cell r="A155" t="str">
            <v>15-KARNATAKA</v>
          </cell>
        </row>
        <row r="156">
          <cell r="A156" t="str">
            <v>16-KERALA</v>
          </cell>
        </row>
        <row r="157">
          <cell r="A157" t="str">
            <v>17-LAKHSWADEEP</v>
          </cell>
        </row>
        <row r="158">
          <cell r="A158" t="str">
            <v>18-MADHYA PRADESH</v>
          </cell>
        </row>
        <row r="159">
          <cell r="A159" t="str">
            <v>19-MAHARASHTRA</v>
          </cell>
        </row>
        <row r="160">
          <cell r="A160" t="str">
            <v>20-MANIPUR</v>
          </cell>
        </row>
        <row r="161">
          <cell r="A161" t="str">
            <v>21-MEGHALAYA</v>
          </cell>
        </row>
        <row r="162">
          <cell r="A162" t="str">
            <v>22-MIZORAM</v>
          </cell>
        </row>
        <row r="163">
          <cell r="A163" t="str">
            <v>23-NAGALAND</v>
          </cell>
        </row>
        <row r="164">
          <cell r="A164" t="str">
            <v>24-ORISSA</v>
          </cell>
        </row>
        <row r="165">
          <cell r="A165" t="str">
            <v>25-PONDICHERRY</v>
          </cell>
        </row>
        <row r="166">
          <cell r="A166" t="str">
            <v>26-PUNJAB</v>
          </cell>
        </row>
        <row r="167">
          <cell r="A167" t="str">
            <v>27-RAJASTHAN</v>
          </cell>
        </row>
        <row r="168">
          <cell r="A168" t="str">
            <v>28-SIKKIM</v>
          </cell>
        </row>
        <row r="169">
          <cell r="A169" t="str">
            <v>29-TAMILNADU</v>
          </cell>
        </row>
        <row r="170">
          <cell r="A170" t="str">
            <v>30-TRIPURA</v>
          </cell>
        </row>
        <row r="171">
          <cell r="A171" t="str">
            <v>31-UTTAR PRADESH</v>
          </cell>
        </row>
        <row r="172">
          <cell r="A172" t="str">
            <v>32-WEST BENGAL</v>
          </cell>
        </row>
        <row r="173">
          <cell r="A173" t="str">
            <v>33-CHHATISHGARH</v>
          </cell>
        </row>
        <row r="174">
          <cell r="A174" t="str">
            <v>34-UTTARANCHAL</v>
          </cell>
        </row>
        <row r="175">
          <cell r="A175" t="str">
            <v>35-JHARKHAND</v>
          </cell>
        </row>
        <row r="176">
          <cell r="A176" t="str">
            <v>99-FOREIGN</v>
          </cell>
        </row>
      </sheetData>
      <sheetData sheetId="4">
        <row r="61">
          <cell r="D61" t="str">
            <v>01-ANDAMAN AND NICOBAR ISLANDS</v>
          </cell>
          <cell r="F61" t="str">
            <v>Y</v>
          </cell>
        </row>
        <row r="62">
          <cell r="D62" t="str">
            <v>02-ANDHRA PRADESH</v>
          </cell>
          <cell r="F62" t="str">
            <v>N</v>
          </cell>
        </row>
        <row r="63">
          <cell r="D63" t="str">
            <v>03-ARUNACHAL PRADESH</v>
          </cell>
        </row>
        <row r="64">
          <cell r="D64" t="str">
            <v>04-ASSAM</v>
          </cell>
        </row>
        <row r="65">
          <cell r="D65" t="str">
            <v>05-BIHAR</v>
          </cell>
        </row>
        <row r="66">
          <cell r="D66" t="str">
            <v>06-CHANDIGARH</v>
          </cell>
        </row>
        <row r="67">
          <cell r="D67" t="str">
            <v>07-DADRA AND NAGAR HAVELI</v>
          </cell>
        </row>
        <row r="68">
          <cell r="D68" t="str">
            <v>08-DAMAN AND DIU</v>
          </cell>
        </row>
        <row r="69">
          <cell r="D69" t="str">
            <v>09-DELHI</v>
          </cell>
        </row>
        <row r="70">
          <cell r="D70" t="str">
            <v>10-GOA</v>
          </cell>
        </row>
        <row r="71">
          <cell r="D71" t="str">
            <v>11-GUJARAT</v>
          </cell>
        </row>
        <row r="72">
          <cell r="D72" t="str">
            <v>12-HARYANA</v>
          </cell>
        </row>
        <row r="73">
          <cell r="D73" t="str">
            <v>13-HIMACHAL PRADESH</v>
          </cell>
        </row>
        <row r="74">
          <cell r="D74" t="str">
            <v>14-JAMMU AND KASHMIR</v>
          </cell>
        </row>
        <row r="75">
          <cell r="D75" t="str">
            <v>15-KARNATAKA</v>
          </cell>
        </row>
        <row r="76">
          <cell r="D76" t="str">
            <v>16-KERALA</v>
          </cell>
        </row>
        <row r="77">
          <cell r="D77" t="str">
            <v>17-LAKHSWADEEP</v>
          </cell>
        </row>
        <row r="78">
          <cell r="D78" t="str">
            <v>18-MADHYA PRADESH</v>
          </cell>
        </row>
        <row r="79">
          <cell r="D79" t="str">
            <v>19-MAHARASHTRA</v>
          </cell>
        </row>
        <row r="80">
          <cell r="D80" t="str">
            <v>20-MANIPUR</v>
          </cell>
        </row>
        <row r="81">
          <cell r="D81" t="str">
            <v>21-MEGHALAYA</v>
          </cell>
        </row>
        <row r="82">
          <cell r="D82" t="str">
            <v>22-MIZORAM</v>
          </cell>
        </row>
        <row r="83">
          <cell r="D83" t="str">
            <v>23-NAGALAND</v>
          </cell>
        </row>
        <row r="84">
          <cell r="D84" t="str">
            <v>24-ORISSA</v>
          </cell>
        </row>
        <row r="85">
          <cell r="D85" t="str">
            <v>25-PONDICHERRY</v>
          </cell>
        </row>
        <row r="86">
          <cell r="D86" t="str">
            <v>26-PUNJAB</v>
          </cell>
        </row>
        <row r="87">
          <cell r="D87" t="str">
            <v>27-RAJASTHAN</v>
          </cell>
        </row>
        <row r="88">
          <cell r="D88" t="str">
            <v>28-SIKKIM</v>
          </cell>
        </row>
        <row r="89">
          <cell r="D89" t="str">
            <v>29-TAMILNADU</v>
          </cell>
        </row>
        <row r="90">
          <cell r="D90" t="str">
            <v>30-TRIPURA</v>
          </cell>
        </row>
        <row r="91">
          <cell r="D91" t="str">
            <v>31-UTTAR PRADESH</v>
          </cell>
        </row>
        <row r="92">
          <cell r="D92" t="str">
            <v>32-WEST BENGAL</v>
          </cell>
        </row>
        <row r="93">
          <cell r="D93" t="str">
            <v>33-CHHATISHGARH</v>
          </cell>
        </row>
        <row r="94">
          <cell r="D94" t="str">
            <v>34-UTTARANCHAL</v>
          </cell>
        </row>
        <row r="95">
          <cell r="D95" t="str">
            <v>35-JHARKHAND</v>
          </cell>
        </row>
        <row r="96">
          <cell r="D96" t="str">
            <v>99-FOREIGN</v>
          </cell>
        </row>
      </sheetData>
      <sheetData sheetId="5">
        <row r="67">
          <cell r="J67">
            <v>0</v>
          </cell>
        </row>
      </sheetData>
      <sheetData sheetId="6">
        <row r="11">
          <cell r="E11">
            <v>0</v>
          </cell>
          <cell r="F11">
            <v>0</v>
          </cell>
        </row>
        <row r="12">
          <cell r="E12">
            <v>0</v>
          </cell>
        </row>
        <row r="22">
          <cell r="E22">
            <v>0</v>
          </cell>
        </row>
      </sheetData>
      <sheetData sheetId="7"/>
      <sheetData sheetId="8"/>
      <sheetData sheetId="9">
        <row r="46">
          <cell r="D46">
            <v>1</v>
          </cell>
          <cell r="E46">
            <v>1</v>
          </cell>
        </row>
        <row r="47">
          <cell r="D47" t="str">
            <v>1A</v>
          </cell>
          <cell r="E47">
            <v>10</v>
          </cell>
        </row>
        <row r="48">
          <cell r="D48">
            <v>21</v>
          </cell>
          <cell r="E48">
            <v>12.5</v>
          </cell>
        </row>
        <row r="49">
          <cell r="D49">
            <v>22</v>
          </cell>
          <cell r="E49">
            <v>20</v>
          </cell>
        </row>
        <row r="50">
          <cell r="D50" t="str">
            <v>5A1a</v>
          </cell>
          <cell r="E50">
            <v>30</v>
          </cell>
        </row>
        <row r="51">
          <cell r="D51" t="str">
            <v>FA</v>
          </cell>
          <cell r="E51">
            <v>50</v>
          </cell>
        </row>
        <row r="52">
          <cell r="D52" t="str">
            <v>5A1b1</v>
          </cell>
        </row>
        <row r="53">
          <cell r="D53" t="str">
            <v>5A1b2</v>
          </cell>
        </row>
        <row r="54">
          <cell r="D54" t="str">
            <v>5A1b3</v>
          </cell>
        </row>
        <row r="55">
          <cell r="D55" t="str">
            <v>5AB1a</v>
          </cell>
        </row>
        <row r="56">
          <cell r="D56" t="str">
            <v>5AB1b</v>
          </cell>
        </row>
        <row r="57">
          <cell r="D57" t="str">
            <v>5AC</v>
          </cell>
        </row>
        <row r="58">
          <cell r="D58" t="str">
            <v>5ACA</v>
          </cell>
        </row>
        <row r="59">
          <cell r="D59" t="str">
            <v>5B</v>
          </cell>
        </row>
        <row r="60">
          <cell r="D60" t="str">
            <v>5BB</v>
          </cell>
        </row>
        <row r="61">
          <cell r="D61" t="str">
            <v>5BBA</v>
          </cell>
        </row>
        <row r="62">
          <cell r="D62" t="str">
            <v>5BBB</v>
          </cell>
        </row>
        <row r="63">
          <cell r="D63" t="str">
            <v>5BBC</v>
          </cell>
        </row>
        <row r="64">
          <cell r="D64" t="str">
            <v>5Ea</v>
          </cell>
        </row>
        <row r="65">
          <cell r="D65" t="str">
            <v>5Eb</v>
          </cell>
        </row>
        <row r="66">
          <cell r="D66" t="str">
            <v>DTAA</v>
          </cell>
        </row>
      </sheetData>
      <sheetData sheetId="10"/>
      <sheetData sheetId="11"/>
      <sheetData sheetId="12">
        <row r="62">
          <cell r="G62" t="str">
            <v>01-ANDAMAN AND NICOBAR ISLANDS</v>
          </cell>
        </row>
        <row r="63">
          <cell r="G63" t="str">
            <v>02-ANDHRA PRADESH</v>
          </cell>
        </row>
        <row r="64">
          <cell r="G64" t="str">
            <v>03-ARUNACHAL PRADESH</v>
          </cell>
        </row>
        <row r="65">
          <cell r="G65" t="str">
            <v>04-ASSAM</v>
          </cell>
        </row>
        <row r="66">
          <cell r="G66" t="str">
            <v>05-BIHAR</v>
          </cell>
        </row>
        <row r="67">
          <cell r="G67" t="str">
            <v>06-CHANDIGARH</v>
          </cell>
        </row>
        <row r="68">
          <cell r="G68" t="str">
            <v>07-DADRA AND NAGAR HAVELI</v>
          </cell>
        </row>
        <row r="69">
          <cell r="G69" t="str">
            <v>08-DAMAN AND DIU</v>
          </cell>
        </row>
        <row r="70">
          <cell r="G70" t="str">
            <v>09-DELHI</v>
          </cell>
        </row>
        <row r="71">
          <cell r="G71" t="str">
            <v>10-GOA</v>
          </cell>
        </row>
        <row r="72">
          <cell r="G72" t="str">
            <v>11-GUJARAT</v>
          </cell>
        </row>
        <row r="73">
          <cell r="G73" t="str">
            <v>12-HARYANA</v>
          </cell>
        </row>
        <row r="74">
          <cell r="G74" t="str">
            <v>13-HIMACHAL PRADESH</v>
          </cell>
        </row>
        <row r="75">
          <cell r="G75" t="str">
            <v>14-JAMMU AND KASHMIR</v>
          </cell>
        </row>
        <row r="76">
          <cell r="G76" t="str">
            <v>15-KARNATAKA</v>
          </cell>
        </row>
        <row r="77">
          <cell r="G77" t="str">
            <v>16-KERALA</v>
          </cell>
        </row>
        <row r="78">
          <cell r="G78" t="str">
            <v>17-LAKHSWADEEP</v>
          </cell>
        </row>
        <row r="79">
          <cell r="G79" t="str">
            <v>18-MADHYA PRADESH</v>
          </cell>
        </row>
        <row r="80">
          <cell r="G80" t="str">
            <v>19-MAHARASHTRA</v>
          </cell>
        </row>
        <row r="81">
          <cell r="G81" t="str">
            <v>20-MANIPUR</v>
          </cell>
        </row>
        <row r="82">
          <cell r="G82" t="str">
            <v>21-MEGHALAYA</v>
          </cell>
        </row>
        <row r="83">
          <cell r="G83" t="str">
            <v>22-MIZORAM</v>
          </cell>
        </row>
        <row r="84">
          <cell r="G84" t="str">
            <v>23-NAGALAND</v>
          </cell>
        </row>
        <row r="85">
          <cell r="G85" t="str">
            <v>24-ORISSA</v>
          </cell>
        </row>
        <row r="86">
          <cell r="G86" t="str">
            <v>25-PONDICHERRY</v>
          </cell>
        </row>
        <row r="87">
          <cell r="G87" t="str">
            <v>26-PUNJAB</v>
          </cell>
        </row>
        <row r="88">
          <cell r="G88" t="str">
            <v>27-RAJASTHAN</v>
          </cell>
        </row>
        <row r="89">
          <cell r="G89" t="str">
            <v>28-SIKKIM</v>
          </cell>
        </row>
        <row r="90">
          <cell r="G90" t="str">
            <v>29-TAMILNADU</v>
          </cell>
        </row>
        <row r="91">
          <cell r="G91" t="str">
            <v>30-TRIPURA</v>
          </cell>
        </row>
        <row r="92">
          <cell r="G92" t="str">
            <v>31-UTTAR PRADESH</v>
          </cell>
        </row>
        <row r="93">
          <cell r="G93" t="str">
            <v>32-WEST BENGAL</v>
          </cell>
        </row>
        <row r="94">
          <cell r="G94" t="str">
            <v>33-CHHATISHGARH</v>
          </cell>
        </row>
        <row r="95">
          <cell r="G95" t="str">
            <v>34-UTTARANCHAL</v>
          </cell>
        </row>
        <row r="96">
          <cell r="G96" t="str">
            <v>35-JHARKHAND</v>
          </cell>
        </row>
        <row r="97">
          <cell r="G97" t="str">
            <v>99-FOREIGN</v>
          </cell>
        </row>
      </sheetData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TAILS"/>
      <sheetName val="Form 16"/>
      <sheetName val="Taxable Income"/>
      <sheetName val="Form 10E"/>
      <sheetName val="Form 10E-2"/>
      <sheetName val="10 E-1"/>
      <sheetName val="10 E-2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OMP"/>
      <sheetName val="pl"/>
      <sheetName val="bs"/>
      <sheetName val="sc"/>
      <sheetName val="DSIT"/>
      <sheetName val="DSCA"/>
      <sheetName val="ADD. INFORMATION"/>
      <sheetName val="Deferrred tax "/>
      <sheetName val="FRINGE BENEFIT TAX "/>
      <sheetName val="SECTION 269SS"/>
      <sheetName val="SECTION 269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inMenu"/>
      <sheetName val="Other Deails"/>
      <sheetName val="Emp PA Register"/>
      <sheetName val="Salary"/>
      <sheetName val="Form 10E"/>
      <sheetName val="Form 10E-2"/>
      <sheetName val="6th Pay Arrears"/>
      <sheetName val="Calculation"/>
      <sheetName val="16_1"/>
      <sheetName val="16_2"/>
      <sheetName val="ITR-1"/>
      <sheetName val="SAHAJ PAGE 1"/>
      <sheetName val="SAHAJ PAGE-2"/>
      <sheetName val="Acknowledgement"/>
      <sheetName val="Calculation_Prapose"/>
    </sheetNames>
    <sheetDataSet>
      <sheetData sheetId="0"/>
      <sheetData sheetId="1" refreshError="1">
        <row r="17">
          <cell r="H17" t="str">
            <v>ACFPP3047F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My%20Work/PStoDDODangs/AppData/KIRITPATEL/Documents%20and%20Settings/COMDP2/Local%20Settings/I%20T%202005/IT/WINDOWS/Profiles/Taluka/My%20Documents/Income%20Tax/K%20%20Patel.xls" TargetMode="External"/><Relationship Id="rId2" Type="http://schemas.openxmlformats.org/officeDocument/2006/relationships/hyperlink" Target="../../../../My%20Work/PStoDDODangs/AppData/KIRITPATEL/Documents%20and%20Settings/COMDP2/Local%20Settings/I%20T%202005/IT/WINDOWS/Profiles/Taluka/My%20Documents/Income%20Tax/K%20%20Patel.xls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../../../../My%20Work/PStoDDODangs/AppData/KIRITPATEL/Documents%20and%20Settings/COMDP2/Local%20Settings/I%20T%202005/IT/WINDOWS/Profiles/Taluka/My%20Documents/Income%20Tax/K%20%20Patel.xl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cadiary.org/" TargetMode="External"/><Relationship Id="rId1" Type="http://schemas.openxmlformats.org/officeDocument/2006/relationships/hyperlink" Target="http://cadiary.org/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cadiary.org/" TargetMode="External"/><Relationship Id="rId1" Type="http://schemas.openxmlformats.org/officeDocument/2006/relationships/hyperlink" Target="http://cadiary.org/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65536"/>
  <sheetViews>
    <sheetView showRowColHeaders="0" showRuler="0" zoomScaleNormal="85" workbookViewId="0">
      <pane ySplit="2" topLeftCell="A3" activePane="bottomLeft" state="frozen"/>
      <selection pane="bottomLeft" activeCell="G14" sqref="G14:J14"/>
    </sheetView>
  </sheetViews>
  <sheetFormatPr defaultColWidth="0" defaultRowHeight="15" zeroHeight="1"/>
  <cols>
    <col min="1" max="1" width="4.875" style="511" customWidth="1"/>
    <col min="2" max="2" width="11.875" style="511" customWidth="1"/>
    <col min="3" max="3" width="13.25" style="511" customWidth="1"/>
    <col min="4" max="4" width="22.5" style="511" customWidth="1"/>
    <col min="5" max="5" width="5.125" style="510" customWidth="1"/>
    <col min="6" max="6" width="5" style="511" customWidth="1"/>
    <col min="7" max="7" width="9.625" style="511" customWidth="1"/>
    <col min="8" max="8" width="10.5" style="511" customWidth="1"/>
    <col min="9" max="9" width="10.375" style="511" customWidth="1"/>
    <col min="10" max="10" width="13.125" style="511" customWidth="1"/>
    <col min="11" max="11" width="0.375" style="3" customWidth="1"/>
    <col min="12" max="12" width="0.5" style="3" customWidth="1"/>
    <col min="13" max="16384" width="9" style="3" hidden="1"/>
  </cols>
  <sheetData>
    <row r="1" spans="1:12" s="4" customFormat="1" ht="24.75" thickBot="1">
      <c r="A1" s="1081" t="s">
        <v>22</v>
      </c>
      <c r="B1" s="630"/>
      <c r="C1" s="630"/>
      <c r="D1" s="630"/>
      <c r="E1" s="630"/>
      <c r="F1" s="630"/>
      <c r="G1" s="630"/>
      <c r="H1" s="630"/>
      <c r="I1" s="630"/>
      <c r="J1" s="837"/>
      <c r="K1" s="1071" t="s">
        <v>655</v>
      </c>
      <c r="L1" s="768"/>
    </row>
    <row r="2" spans="1:12" s="4" customFormat="1" ht="16.5" hidden="1" thickBot="1">
      <c r="A2" s="638" t="s">
        <v>479</v>
      </c>
      <c r="B2" s="639"/>
      <c r="C2" s="639"/>
      <c r="D2" s="639"/>
      <c r="E2" s="639"/>
      <c r="F2" s="639"/>
      <c r="G2" s="639"/>
      <c r="H2" s="639"/>
      <c r="I2" s="639"/>
      <c r="J2" s="639"/>
      <c r="K2" s="437"/>
      <c r="L2" s="437"/>
    </row>
    <row r="3" spans="1:12" ht="21" thickBot="1">
      <c r="A3" s="1082" t="s">
        <v>645</v>
      </c>
      <c r="B3" s="1083"/>
      <c r="C3" s="1083"/>
      <c r="D3" s="1083"/>
      <c r="E3" s="1083"/>
      <c r="F3" s="1083"/>
      <c r="G3" s="1083"/>
      <c r="H3" s="1083"/>
      <c r="I3" s="1083"/>
      <c r="J3" s="1084"/>
      <c r="K3" s="1071"/>
      <c r="L3" s="113"/>
    </row>
    <row r="4" spans="1:12" ht="27" thickBot="1">
      <c r="A4" s="1080" t="s">
        <v>643</v>
      </c>
      <c r="B4" s="1078"/>
      <c r="C4" s="1078"/>
      <c r="D4" s="1078"/>
      <c r="E4" s="1078"/>
      <c r="F4" s="1078"/>
      <c r="G4" s="1078"/>
      <c r="H4" s="1078"/>
      <c r="I4" s="1078"/>
      <c r="J4" s="1079"/>
      <c r="K4" s="113"/>
      <c r="L4" s="113"/>
    </row>
    <row r="5" spans="1:12" s="4" customFormat="1" ht="25.5" customHeight="1" thickBot="1">
      <c r="A5" s="625">
        <v>1</v>
      </c>
      <c r="B5" s="1230" t="s">
        <v>495</v>
      </c>
      <c r="C5" s="1230"/>
      <c r="D5" s="1230"/>
      <c r="E5" s="1230"/>
      <c r="F5" s="1230"/>
      <c r="G5" s="1230"/>
      <c r="H5" s="1230"/>
      <c r="I5" s="1230"/>
      <c r="J5" s="1230"/>
      <c r="K5" s="437"/>
      <c r="L5" s="437"/>
    </row>
    <row r="6" spans="1:12" s="4" customFormat="1" ht="54" customHeight="1" thickBot="1">
      <c r="A6" s="626">
        <v>2</v>
      </c>
      <c r="B6" s="1234" t="s">
        <v>600</v>
      </c>
      <c r="C6" s="1235"/>
      <c r="D6" s="1235"/>
      <c r="E6" s="1235"/>
      <c r="F6" s="1235"/>
      <c r="G6" s="1235"/>
      <c r="H6" s="1235"/>
      <c r="I6" s="1235"/>
      <c r="J6" s="1235"/>
      <c r="K6" s="437"/>
      <c r="L6" s="437"/>
    </row>
    <row r="7" spans="1:12" s="4" customFormat="1" ht="26.25" customHeight="1" thickBot="1">
      <c r="A7" s="1226">
        <v>3</v>
      </c>
      <c r="B7" s="1231" t="s">
        <v>603</v>
      </c>
      <c r="C7" s="1231"/>
      <c r="D7" s="1231"/>
      <c r="E7" s="1231"/>
      <c r="F7" s="1231"/>
      <c r="G7" s="1231"/>
      <c r="H7" s="1231"/>
      <c r="I7" s="1231"/>
      <c r="J7" s="1231"/>
      <c r="K7" s="437"/>
      <c r="L7" s="437"/>
    </row>
    <row r="8" spans="1:12" s="4" customFormat="1" ht="26.25" customHeight="1" thickBot="1">
      <c r="A8" s="1226"/>
      <c r="B8" s="1231"/>
      <c r="C8" s="1231"/>
      <c r="D8" s="1231"/>
      <c r="E8" s="1231"/>
      <c r="F8" s="1231"/>
      <c r="G8" s="1231"/>
      <c r="H8" s="1231"/>
      <c r="I8" s="1231"/>
      <c r="J8" s="1231"/>
      <c r="K8" s="437"/>
      <c r="L8" s="437"/>
    </row>
    <row r="9" spans="1:12" s="4" customFormat="1" ht="23.25" customHeight="1" thickBot="1">
      <c r="A9" s="1226"/>
      <c r="B9" s="1232" t="s">
        <v>641</v>
      </c>
      <c r="C9" s="1233"/>
      <c r="D9" s="1233"/>
      <c r="E9" s="1233"/>
      <c r="F9" s="1233"/>
      <c r="G9" s="1233"/>
      <c r="H9" s="1233"/>
      <c r="I9" s="1233"/>
      <c r="J9" s="1233"/>
      <c r="K9" s="437"/>
      <c r="L9" s="437"/>
    </row>
    <row r="10" spans="1:12" s="4" customFormat="1" ht="23.25" customHeight="1" thickBot="1">
      <c r="A10" s="1226"/>
      <c r="B10" s="1233"/>
      <c r="C10" s="1233"/>
      <c r="D10" s="1233"/>
      <c r="E10" s="1233"/>
      <c r="F10" s="1233"/>
      <c r="G10" s="1233"/>
      <c r="H10" s="1233"/>
      <c r="I10" s="1233"/>
      <c r="J10" s="1233"/>
      <c r="K10" s="437"/>
      <c r="L10" s="437"/>
    </row>
    <row r="11" spans="1:12" s="4" customFormat="1" ht="19.5" customHeight="1" thickBot="1">
      <c r="A11" s="516" t="s">
        <v>86</v>
      </c>
      <c r="B11" s="1217" t="s">
        <v>493</v>
      </c>
      <c r="C11" s="1217"/>
      <c r="D11" s="1218"/>
      <c r="E11" s="627"/>
      <c r="F11" s="517" t="s">
        <v>89</v>
      </c>
      <c r="G11" s="1227" t="s">
        <v>625</v>
      </c>
      <c r="H11" s="1228"/>
      <c r="I11" s="1228"/>
      <c r="J11" s="1229"/>
      <c r="L11" s="437"/>
    </row>
    <row r="12" spans="1:12" s="5" customFormat="1" ht="19.5" customHeight="1" thickBot="1">
      <c r="A12" s="516" t="s">
        <v>87</v>
      </c>
      <c r="B12" s="1217" t="s">
        <v>481</v>
      </c>
      <c r="C12" s="1217"/>
      <c r="D12" s="1218"/>
      <c r="E12" s="628"/>
      <c r="F12" s="640" t="s">
        <v>156</v>
      </c>
      <c r="G12" s="1224" t="s">
        <v>627</v>
      </c>
      <c r="H12" s="1225"/>
      <c r="I12" s="1130" t="s">
        <v>626</v>
      </c>
      <c r="J12" s="1115" t="s">
        <v>628</v>
      </c>
      <c r="K12" s="437"/>
      <c r="L12" s="438"/>
    </row>
    <row r="13" spans="1:12" s="5" customFormat="1" ht="19.5" customHeight="1" thickBot="1">
      <c r="A13" s="516" t="s">
        <v>88</v>
      </c>
      <c r="B13" s="1217" t="s">
        <v>482</v>
      </c>
      <c r="C13" s="1217"/>
      <c r="D13" s="1218"/>
      <c r="E13" s="628"/>
      <c r="F13" s="640" t="s">
        <v>208</v>
      </c>
      <c r="G13" s="1227" t="s">
        <v>629</v>
      </c>
      <c r="H13" s="1228"/>
      <c r="I13" s="1228"/>
      <c r="J13" s="1229"/>
      <c r="K13" s="438"/>
      <c r="L13" s="438"/>
    </row>
    <row r="14" spans="1:12" s="5" customFormat="1" ht="19.5" customHeight="1" thickBot="1">
      <c r="A14" s="517" t="s">
        <v>207</v>
      </c>
      <c r="B14" s="1217" t="s">
        <v>483</v>
      </c>
      <c r="C14" s="1217"/>
      <c r="D14" s="1218"/>
      <c r="E14" s="845"/>
      <c r="F14" s="517" t="s">
        <v>514</v>
      </c>
      <c r="G14" s="1219" t="s">
        <v>630</v>
      </c>
      <c r="H14" s="1220"/>
      <c r="I14" s="1220"/>
      <c r="J14" s="1221"/>
      <c r="K14" s="438"/>
      <c r="L14" s="438"/>
    </row>
    <row r="15" spans="1:12" s="5" customFormat="1" ht="18.75" hidden="1" customHeight="1" thickBot="1">
      <c r="E15" s="846" t="s">
        <v>5</v>
      </c>
      <c r="F15" s="847"/>
      <c r="G15" s="1222"/>
      <c r="H15" s="1222"/>
      <c r="I15" s="1222"/>
      <c r="J15" s="1223"/>
      <c r="K15" s="438"/>
      <c r="L15" s="438"/>
    </row>
    <row r="16" spans="1:12" s="5" customFormat="1" ht="19.5" customHeight="1" thickBot="1">
      <c r="A16" s="517"/>
      <c r="B16" s="1217"/>
      <c r="C16" s="1217"/>
      <c r="D16" s="1218"/>
      <c r="E16" s="845"/>
      <c r="F16" s="517" t="s">
        <v>631</v>
      </c>
      <c r="G16" s="1219" t="s">
        <v>445</v>
      </c>
      <c r="H16" s="1220"/>
      <c r="I16" s="1220"/>
      <c r="J16" s="1221"/>
      <c r="K16" s="438"/>
      <c r="L16" s="438"/>
    </row>
    <row r="17" spans="1:12" s="5" customFormat="1" ht="21.75" customHeight="1" thickBot="1">
      <c r="A17" s="624" t="s">
        <v>156</v>
      </c>
      <c r="B17" s="1215" t="s">
        <v>54</v>
      </c>
      <c r="C17" s="1216"/>
      <c r="D17" s="1216"/>
      <c r="E17" s="629"/>
      <c r="F17" s="518" t="s">
        <v>502</v>
      </c>
      <c r="G17" s="519"/>
      <c r="H17" s="520"/>
      <c r="I17" s="521"/>
      <c r="J17" s="522"/>
      <c r="K17" s="438"/>
      <c r="L17" s="438"/>
    </row>
    <row r="18" spans="1:12" s="6" customFormat="1" ht="15.75" customHeight="1">
      <c r="A18" s="523"/>
      <c r="B18" s="524"/>
      <c r="C18" s="524"/>
      <c r="D18" s="524"/>
      <c r="E18" s="629"/>
      <c r="F18" s="519" t="s">
        <v>570</v>
      </c>
      <c r="G18" s="519"/>
      <c r="H18" s="520"/>
      <c r="I18" s="521"/>
      <c r="J18" s="522"/>
      <c r="K18" s="7"/>
      <c r="L18" s="7"/>
    </row>
    <row r="19" spans="1:12" s="6" customFormat="1" ht="15.75" customHeight="1">
      <c r="A19" s="525"/>
      <c r="B19" s="526"/>
      <c r="C19" s="526"/>
      <c r="D19" s="526"/>
      <c r="E19" s="629"/>
      <c r="F19" s="519" t="s">
        <v>473</v>
      </c>
      <c r="G19" s="519"/>
      <c r="H19" s="520"/>
      <c r="I19" s="521"/>
      <c r="J19" s="522"/>
      <c r="K19" s="7"/>
      <c r="L19" s="7"/>
    </row>
    <row r="20" spans="1:12" s="4" customFormat="1" ht="15.75" customHeight="1">
      <c r="A20" s="528" t="s">
        <v>72</v>
      </c>
      <c r="B20" s="529"/>
      <c r="C20" s="529"/>
      <c r="D20" s="529"/>
      <c r="E20" s="629"/>
      <c r="F20" s="519" t="s">
        <v>476</v>
      </c>
      <c r="G20" s="519"/>
      <c r="H20" s="527"/>
      <c r="I20" s="519"/>
      <c r="J20" s="527"/>
      <c r="K20" s="437"/>
      <c r="L20" s="437"/>
    </row>
    <row r="21" spans="1:12" s="4" customFormat="1" ht="15.75" customHeight="1">
      <c r="A21" s="528"/>
      <c r="B21" s="529"/>
      <c r="C21" s="529"/>
      <c r="D21" s="529"/>
      <c r="E21" s="629"/>
      <c r="F21" s="519" t="s">
        <v>472</v>
      </c>
      <c r="G21" s="519"/>
      <c r="H21" s="530"/>
      <c r="I21" s="521"/>
      <c r="J21" s="522"/>
      <c r="K21" s="437"/>
      <c r="L21" s="437"/>
    </row>
    <row r="22" spans="1:12" ht="15.75" customHeight="1">
      <c r="A22" s="533" t="s">
        <v>74</v>
      </c>
      <c r="B22" s="534"/>
      <c r="C22" s="534"/>
      <c r="D22" s="534"/>
      <c r="E22" s="629"/>
      <c r="F22" s="519" t="s">
        <v>439</v>
      </c>
      <c r="G22" s="519"/>
      <c r="H22" s="531"/>
      <c r="I22" s="521" t="s">
        <v>438</v>
      </c>
      <c r="J22" s="532"/>
      <c r="K22" s="113"/>
      <c r="L22" s="113"/>
    </row>
    <row r="23" spans="1:12" ht="15.75" customHeight="1">
      <c r="A23" s="534"/>
      <c r="B23" s="534"/>
      <c r="C23" s="534"/>
      <c r="D23" s="534"/>
      <c r="E23" s="629"/>
      <c r="F23" s="519" t="s">
        <v>202</v>
      </c>
      <c r="G23" s="519"/>
      <c r="H23" s="535"/>
      <c r="I23" s="521" t="s">
        <v>448</v>
      </c>
      <c r="J23" s="522"/>
      <c r="K23" s="113"/>
      <c r="L23" s="113"/>
    </row>
    <row r="24" spans="1:12" ht="15.75" customHeight="1">
      <c r="A24" s="113"/>
      <c r="B24" s="113"/>
      <c r="C24" s="113"/>
      <c r="D24" s="113"/>
      <c r="E24" s="641"/>
      <c r="F24" s="519" t="s">
        <v>1</v>
      </c>
      <c r="G24" s="519"/>
      <c r="H24" s="536"/>
      <c r="I24" s="521" t="s">
        <v>0</v>
      </c>
      <c r="J24" s="527"/>
      <c r="K24" s="113"/>
      <c r="L24" s="113"/>
    </row>
    <row r="25" spans="1:12" ht="3.75" customHeight="1" thickBot="1">
      <c r="E25" s="642"/>
      <c r="F25" s="113"/>
      <c r="G25" s="113"/>
      <c r="H25" s="113"/>
      <c r="I25" s="113"/>
      <c r="J25" s="113"/>
      <c r="L25" s="113"/>
    </row>
    <row r="26" spans="1:12" hidden="1">
      <c r="A26" s="512"/>
      <c r="B26" s="512"/>
      <c r="C26" s="512"/>
      <c r="D26" s="512"/>
      <c r="E26" s="509"/>
      <c r="F26" s="512"/>
      <c r="G26" s="512"/>
      <c r="H26" s="512"/>
      <c r="I26" s="512"/>
    </row>
    <row r="27" spans="1:12" hidden="1">
      <c r="A27" s="1214" t="s">
        <v>111</v>
      </c>
      <c r="B27" s="1214"/>
      <c r="C27" s="1214"/>
      <c r="D27" s="1214"/>
      <c r="E27" s="515"/>
      <c r="F27" s="513"/>
      <c r="G27" s="513"/>
      <c r="H27" s="513"/>
      <c r="I27" s="513"/>
      <c r="J27" s="514"/>
    </row>
    <row r="28" spans="1:12" ht="4.5" hidden="1" customHeight="1"/>
    <row r="29" spans="1:12" ht="1.5" hidden="1" customHeight="1"/>
    <row r="30" spans="1:12" hidden="1"/>
    <row r="31" spans="1:12" hidden="1"/>
    <row r="32" spans="1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</sheetData>
  <sheetProtection password="CCFF" sheet="1" objects="1" scenarios="1" formatCells="0" formatColumns="0" formatRows="0" insertColumns="0" insertRows="0"/>
  <customSheetViews>
    <customSheetView guid="{049E6C55-41BB-11D7-A093-A9EBCA13345A}" showPageBreaks="1" hiddenRows="1" hiddenColumns="1" showRuler="0">
      <selection activeCell="A9" sqref="A9:D9"/>
      <pageMargins left="0" right="0" top="1.25" bottom="1" header="0.5" footer="0.9"/>
      <pageSetup paperSize="9" scale="97" orientation="portrait" horizontalDpi="180" verticalDpi="180" r:id="rId1"/>
      <headerFooter alignWithMargins="0"/>
    </customSheetView>
  </customSheetViews>
  <mergeCells count="18">
    <mergeCell ref="A7:A10"/>
    <mergeCell ref="G13:J13"/>
    <mergeCell ref="B14:D14"/>
    <mergeCell ref="G11:J11"/>
    <mergeCell ref="B5:J5"/>
    <mergeCell ref="B7:J8"/>
    <mergeCell ref="B9:J10"/>
    <mergeCell ref="B6:J6"/>
    <mergeCell ref="B11:D11"/>
    <mergeCell ref="A27:D27"/>
    <mergeCell ref="B17:D17"/>
    <mergeCell ref="B12:D12"/>
    <mergeCell ref="G16:J16"/>
    <mergeCell ref="G15:J15"/>
    <mergeCell ref="G14:J14"/>
    <mergeCell ref="B16:D16"/>
    <mergeCell ref="G12:H12"/>
    <mergeCell ref="B13:D13"/>
  </mergeCells>
  <phoneticPr fontId="20" type="noConversion"/>
  <hyperlinks>
    <hyperlink ref="B13" r:id="rId2" location="Income_calculation" display="C:\I T 2005\IT\WINDOWS\Profiles\Taluka\My Documents\Income Tax\K  Patel.xls - Income_calculation"/>
    <hyperlink ref="B11" location="'Other Deails'!A1" display="'Other Deails'!A1"/>
    <hyperlink ref="B12" r:id="rId3" location="'Details Salary'!DATA" display="C:\I T 2005\IT\WINDOWS\Profiles\Taluka\My Documents\Income Tax\K  Patel.xls - 'Details Salary'!DATA"/>
    <hyperlink ref="B12:D12" location="'Earning- Salary'!A1" display="Click here for fill up Earning- Salary"/>
    <hyperlink ref="B13:D13" location="'Other than Salary Income'!A1" display="Click here for fill up Other than Salary Income "/>
    <hyperlink ref="B17" location="Saral!A1" display="Saral!A1"/>
    <hyperlink ref="B17:C17" location="Saral!A1" display="Saral!A1"/>
    <hyperlink ref="B17:D17" location="'IRT-2'!A1" display="Click here to  VIEW AND PRINT ITR-2"/>
    <hyperlink ref="G14:J14" location="'FORM 16 (NEW)'!Print_Area" display="Click here to  VIEW FORM 16 (NEW)"/>
    <hyperlink ref="B11:D11" location="'Master Deails'!A1" display="Click here for fill up FIRST INFORMATION"/>
    <hyperlink ref="B14" r:id="rId4" location="Income_calculation" display="C:\I T 2005\IT\WINDOWS\Profiles\Taluka\My Documents\Income Tax\K  Patel.xls - Income_calculation"/>
    <hyperlink ref="B14:D14" location="'Investment - Deduction'!A1" display="Click here for fill up Investment - Deduction"/>
    <hyperlink ref="G11:I11" location="Calculation!A1" display="Click here to  VIEW Income-Tax Calculation Statement"/>
    <hyperlink ref="G13:J13" location="'Calculation (NEW)'!Income_calculation" display="Click here to VIEW ITax Calculation (New) Statement"/>
    <hyperlink ref="I12" location="'FORM 16_1 (OLD)'!Print_Area" display="FORM 16_1 "/>
    <hyperlink ref="J12" location="'FORM 16_2 (OLD)'!Print_Area" display="FORM 16_2"/>
    <hyperlink ref="G16:J16" location="'Form_Annexure A_B'!Print_Area" display="Click here to  VIEW &amp; Fill up 16's Annexure A"/>
    <hyperlink ref="G11:J11" location="'Calculation (OLD)'!Income_calculation" display="Click here to VIEW ITax Calculation (Old) Statement"/>
  </hyperlinks>
  <pageMargins left="0" right="0" top="1.25" bottom="1" header="0.5" footer="0.9"/>
  <pageSetup paperSize="9" scale="97" orientation="portrait" horizontalDpi="180" verticalDpi="180" r:id="rId5"/>
  <headerFooter alignWithMargins="0"/>
  <drawing r:id="rId6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10"/>
  </sheetPr>
  <dimension ref="A1:XFD120"/>
  <sheetViews>
    <sheetView showGridLines="0" showRowColHeaders="0" tabSelected="1" topLeftCell="A2" zoomScaleSheetLayoutView="130" workbookViewId="0">
      <pane ySplit="3" topLeftCell="A64" activePane="bottomLeft" state="frozen"/>
      <selection activeCell="D19" sqref="D19:S20"/>
      <selection pane="bottomLeft" activeCell="Z63" sqref="Z63"/>
    </sheetView>
  </sheetViews>
  <sheetFormatPr defaultColWidth="0" defaultRowHeight="15" zeroHeight="1"/>
  <cols>
    <col min="1" max="1" width="2.125" style="209" customWidth="1"/>
    <col min="2" max="2" width="2.625" style="218" customWidth="1"/>
    <col min="3" max="3" width="3" style="218" customWidth="1"/>
    <col min="4" max="15" width="2.625" style="218" customWidth="1"/>
    <col min="16" max="20" width="1.75" style="218" customWidth="1"/>
    <col min="21" max="21" width="2.625" style="218" customWidth="1"/>
    <col min="22" max="28" width="1.875" style="218" customWidth="1"/>
    <col min="29" max="39" width="2.625" style="218" customWidth="1"/>
    <col min="40" max="40" width="0.875" style="260" customWidth="1"/>
    <col min="41" max="41" width="3" style="260" customWidth="1"/>
    <col min="42" max="44" width="2.125" style="2049" hidden="1" customWidth="1"/>
    <col min="45" max="47" width="2.125" style="260" hidden="1" customWidth="1"/>
    <col min="48" max="48" width="0.875" style="260" hidden="1" customWidth="1"/>
    <col min="49" max="50" width="2.125" style="260" hidden="1" customWidth="1"/>
    <col min="51" max="179" width="2.125" style="201" hidden="1" customWidth="1"/>
    <col min="180" max="16379" width="0" style="201" hidden="1"/>
    <col min="16380" max="16380" width="1.625" style="201" hidden="1" customWidth="1"/>
    <col min="16381" max="16381" width="4" style="201" hidden="1" customWidth="1"/>
    <col min="16382" max="16382" width="2.5" style="201" hidden="1" customWidth="1"/>
    <col min="16383" max="16383" width="4.375" style="201" hidden="1" customWidth="1"/>
    <col min="16384" max="16384" width="11.75" style="201" hidden="1" customWidth="1"/>
  </cols>
  <sheetData>
    <row r="1" spans="1:151" hidden="1">
      <c r="A1" s="201" t="s">
        <v>209</v>
      </c>
      <c r="B1" s="201">
        <v>2</v>
      </c>
      <c r="C1" s="201">
        <v>3</v>
      </c>
      <c r="D1" s="201">
        <v>4</v>
      </c>
      <c r="E1" s="201">
        <v>5</v>
      </c>
      <c r="F1" s="201">
        <v>6</v>
      </c>
      <c r="G1" s="201">
        <v>7</v>
      </c>
      <c r="H1" s="201">
        <v>8</v>
      </c>
      <c r="I1" s="201">
        <v>9</v>
      </c>
      <c r="J1" s="201">
        <v>10</v>
      </c>
      <c r="K1" s="201">
        <v>11</v>
      </c>
      <c r="L1" s="201">
        <v>12</v>
      </c>
      <c r="M1" s="201">
        <v>13</v>
      </c>
      <c r="N1" s="201">
        <v>14</v>
      </c>
      <c r="O1" s="201">
        <v>15</v>
      </c>
      <c r="P1" s="201">
        <v>16</v>
      </c>
      <c r="Q1" s="201">
        <v>17</v>
      </c>
      <c r="R1" s="201">
        <v>18</v>
      </c>
      <c r="S1" s="201">
        <v>19</v>
      </c>
      <c r="T1" s="201">
        <v>20</v>
      </c>
      <c r="U1" s="201">
        <v>21</v>
      </c>
      <c r="V1" s="202">
        <v>22</v>
      </c>
      <c r="W1" s="201">
        <v>23</v>
      </c>
      <c r="X1" s="201">
        <v>24</v>
      </c>
      <c r="Y1" s="201">
        <v>25</v>
      </c>
      <c r="Z1" s="201">
        <v>26</v>
      </c>
      <c r="AA1" s="201">
        <v>27</v>
      </c>
      <c r="AB1" s="201">
        <v>28</v>
      </c>
      <c r="AC1" s="201">
        <v>29</v>
      </c>
      <c r="AD1" s="201">
        <v>30</v>
      </c>
      <c r="AE1" s="201">
        <v>31</v>
      </c>
      <c r="AF1" s="201">
        <v>32</v>
      </c>
      <c r="AG1" s="201">
        <v>33</v>
      </c>
      <c r="AH1" s="201">
        <v>34</v>
      </c>
      <c r="AI1" s="201">
        <v>35</v>
      </c>
      <c r="AJ1" s="201">
        <v>36</v>
      </c>
      <c r="AK1" s="201">
        <v>37</v>
      </c>
      <c r="AL1" s="201">
        <v>38</v>
      </c>
      <c r="AM1" s="201">
        <v>39</v>
      </c>
      <c r="AN1" s="201">
        <v>40</v>
      </c>
      <c r="AO1" s="201">
        <v>41</v>
      </c>
      <c r="AP1" s="2044">
        <v>42</v>
      </c>
      <c r="AQ1" s="2044">
        <v>43</v>
      </c>
      <c r="AR1" s="2044">
        <v>44</v>
      </c>
      <c r="AS1" s="201">
        <v>45</v>
      </c>
      <c r="AT1" s="201">
        <v>46</v>
      </c>
      <c r="AU1" s="201">
        <v>47</v>
      </c>
      <c r="AV1" s="201">
        <v>48</v>
      </c>
      <c r="AW1" s="201">
        <v>49</v>
      </c>
      <c r="AX1" s="201">
        <v>50</v>
      </c>
      <c r="AY1" s="201">
        <v>51</v>
      </c>
      <c r="AZ1" s="201">
        <v>52</v>
      </c>
      <c r="BA1" s="201">
        <v>53</v>
      </c>
      <c r="BB1" s="201">
        <v>54</v>
      </c>
      <c r="BC1" s="201">
        <v>55</v>
      </c>
      <c r="BD1" s="201">
        <v>56</v>
      </c>
      <c r="BE1" s="201">
        <v>57</v>
      </c>
      <c r="BF1" s="201">
        <v>58</v>
      </c>
      <c r="BG1" s="201">
        <v>59</v>
      </c>
      <c r="BH1" s="201">
        <v>60</v>
      </c>
      <c r="BI1" s="201">
        <v>61</v>
      </c>
      <c r="BJ1" s="201">
        <v>62</v>
      </c>
      <c r="BK1" s="201">
        <v>63</v>
      </c>
      <c r="BL1" s="201">
        <v>64</v>
      </c>
      <c r="BM1" s="201">
        <v>65</v>
      </c>
      <c r="BN1" s="201">
        <v>66</v>
      </c>
      <c r="BO1" s="201">
        <v>67</v>
      </c>
      <c r="BP1" s="201">
        <v>68</v>
      </c>
      <c r="BQ1" s="201">
        <v>69</v>
      </c>
      <c r="BR1" s="201">
        <v>70</v>
      </c>
      <c r="BS1" s="201">
        <v>71</v>
      </c>
      <c r="BT1" s="201">
        <v>72</v>
      </c>
      <c r="BU1" s="201">
        <v>73</v>
      </c>
      <c r="BV1" s="201">
        <v>74</v>
      </c>
      <c r="BW1" s="201">
        <v>75</v>
      </c>
      <c r="BX1" s="201">
        <v>76</v>
      </c>
      <c r="BY1" s="201">
        <v>77</v>
      </c>
      <c r="BZ1" s="201">
        <v>78</v>
      </c>
      <c r="CA1" s="201">
        <v>79</v>
      </c>
      <c r="CB1" s="201">
        <v>80</v>
      </c>
      <c r="CC1" s="201">
        <v>81</v>
      </c>
      <c r="CD1" s="201">
        <v>82</v>
      </c>
      <c r="CE1" s="201">
        <v>83</v>
      </c>
      <c r="CF1" s="201">
        <v>84</v>
      </c>
      <c r="CG1" s="201">
        <v>85</v>
      </c>
      <c r="CH1" s="201">
        <v>86</v>
      </c>
      <c r="CI1" s="201">
        <v>87</v>
      </c>
      <c r="CJ1" s="201">
        <v>88</v>
      </c>
      <c r="CK1" s="201">
        <v>89</v>
      </c>
      <c r="CL1" s="201">
        <v>90</v>
      </c>
      <c r="CM1" s="201">
        <v>91</v>
      </c>
      <c r="CN1" s="201">
        <v>92</v>
      </c>
      <c r="CO1" s="201">
        <v>93</v>
      </c>
      <c r="CP1" s="201">
        <v>94</v>
      </c>
      <c r="CQ1" s="201">
        <v>95</v>
      </c>
      <c r="CR1" s="201">
        <v>96</v>
      </c>
      <c r="CS1" s="201">
        <v>97</v>
      </c>
      <c r="CT1" s="201">
        <v>98</v>
      </c>
      <c r="CU1" s="201">
        <v>99</v>
      </c>
      <c r="CV1" s="201">
        <v>100</v>
      </c>
      <c r="CW1" s="201">
        <v>101</v>
      </c>
      <c r="CX1" s="201">
        <v>102</v>
      </c>
      <c r="CY1" s="201">
        <v>103</v>
      </c>
      <c r="CZ1" s="201">
        <v>104</v>
      </c>
      <c r="DA1" s="201">
        <v>105</v>
      </c>
      <c r="DB1" s="201">
        <v>106</v>
      </c>
      <c r="DC1" s="201">
        <v>107</v>
      </c>
      <c r="DD1" s="201">
        <v>108</v>
      </c>
      <c r="DE1" s="201">
        <v>109</v>
      </c>
      <c r="DF1" s="201">
        <v>110</v>
      </c>
      <c r="DG1" s="201">
        <v>111</v>
      </c>
      <c r="DH1" s="201">
        <v>112</v>
      </c>
      <c r="DI1" s="201">
        <v>113</v>
      </c>
      <c r="DJ1" s="201">
        <v>114</v>
      </c>
      <c r="DK1" s="201">
        <v>115</v>
      </c>
      <c r="DL1" s="201">
        <v>116</v>
      </c>
      <c r="DM1" s="201">
        <v>117</v>
      </c>
      <c r="DN1" s="201">
        <v>118</v>
      </c>
      <c r="DO1" s="201">
        <v>119</v>
      </c>
      <c r="DP1" s="201">
        <v>120</v>
      </c>
      <c r="DQ1" s="201">
        <v>121</v>
      </c>
      <c r="DR1" s="201">
        <v>122</v>
      </c>
      <c r="DS1" s="201">
        <v>123</v>
      </c>
      <c r="DT1" s="201">
        <v>124</v>
      </c>
      <c r="DU1" s="201">
        <v>125</v>
      </c>
      <c r="DV1" s="201">
        <v>126</v>
      </c>
      <c r="DW1" s="201">
        <v>127</v>
      </c>
      <c r="DX1" s="201">
        <v>128</v>
      </c>
      <c r="DY1" s="201">
        <v>129</v>
      </c>
      <c r="DZ1" s="201">
        <v>130</v>
      </c>
      <c r="EA1" s="201">
        <v>131</v>
      </c>
      <c r="EB1" s="201">
        <v>132</v>
      </c>
      <c r="EC1" s="201">
        <v>133</v>
      </c>
      <c r="ED1" s="201">
        <v>134</v>
      </c>
      <c r="EE1" s="201">
        <v>135</v>
      </c>
      <c r="EF1" s="201">
        <v>136</v>
      </c>
      <c r="EG1" s="201">
        <v>137</v>
      </c>
      <c r="EH1" s="201">
        <v>138</v>
      </c>
      <c r="EI1" s="201">
        <v>139</v>
      </c>
      <c r="EJ1" s="201">
        <v>140</v>
      </c>
      <c r="EK1" s="201">
        <v>141</v>
      </c>
      <c r="EL1" s="201">
        <v>142</v>
      </c>
      <c r="EM1" s="201">
        <v>143</v>
      </c>
      <c r="EN1" s="201">
        <v>144</v>
      </c>
      <c r="EO1" s="201">
        <v>145</v>
      </c>
      <c r="EP1" s="201">
        <v>146</v>
      </c>
      <c r="EQ1" s="201">
        <v>147</v>
      </c>
      <c r="ER1" s="201">
        <v>148</v>
      </c>
      <c r="ES1" s="201">
        <v>149</v>
      </c>
      <c r="ET1" s="201">
        <v>150</v>
      </c>
      <c r="EU1" s="201">
        <v>151</v>
      </c>
    </row>
    <row r="2" spans="1:151" s="203" customFormat="1" ht="26.25" customHeight="1" thickBot="1">
      <c r="A2" s="1898" t="s">
        <v>90</v>
      </c>
      <c r="B2" s="1898"/>
      <c r="C2" s="1898"/>
      <c r="D2" s="1898"/>
      <c r="E2" s="1898"/>
      <c r="F2" s="1898"/>
      <c r="G2" s="1898"/>
      <c r="H2" s="1898"/>
      <c r="I2" s="1898"/>
      <c r="J2" s="1898"/>
      <c r="K2" s="1898"/>
      <c r="L2" s="1898"/>
      <c r="M2" s="1898"/>
      <c r="N2" s="1898"/>
      <c r="O2" s="1898"/>
      <c r="P2" s="1897" t="s">
        <v>314</v>
      </c>
      <c r="Q2" s="1897"/>
      <c r="R2" s="1897"/>
      <c r="S2" s="1897"/>
      <c r="T2" s="1897"/>
      <c r="U2" s="1897"/>
      <c r="V2" s="1897"/>
      <c r="W2" s="1897"/>
      <c r="X2" s="1897"/>
      <c r="Y2" s="1897"/>
      <c r="Z2" s="1897"/>
      <c r="AA2" s="1897"/>
      <c r="AB2" s="1897"/>
      <c r="AC2" s="1897"/>
      <c r="AD2" s="1897"/>
      <c r="AE2" s="1897"/>
      <c r="AF2" s="1897"/>
      <c r="AG2" s="1897"/>
      <c r="AH2" s="1897"/>
      <c r="AI2" s="1897"/>
      <c r="AJ2" s="1897"/>
      <c r="AK2" s="1897"/>
      <c r="AL2" s="1897"/>
      <c r="AM2" s="1897"/>
      <c r="AN2" s="1897"/>
      <c r="AO2" s="1897"/>
      <c r="AP2" s="2045"/>
      <c r="AQ2" s="2045"/>
      <c r="AR2" s="2045"/>
    </row>
    <row r="3" spans="1:151" s="203" customFormat="1" ht="22.5" customHeight="1" thickTop="1" thickBot="1">
      <c r="A3" s="204"/>
      <c r="B3" s="205" t="s">
        <v>475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6"/>
      <c r="AN3" s="207"/>
      <c r="AO3" s="208"/>
      <c r="AP3" s="2045"/>
      <c r="AQ3" s="2045"/>
      <c r="AR3" s="2045"/>
    </row>
    <row r="4" spans="1:151" s="337" customFormat="1" ht="3.75" customHeight="1" thickTop="1">
      <c r="A4" s="332"/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4"/>
      <c r="Q4" s="334"/>
      <c r="R4" s="334"/>
      <c r="S4" s="334"/>
      <c r="T4" s="334"/>
      <c r="U4" s="334"/>
      <c r="V4" s="334"/>
      <c r="W4" s="334"/>
      <c r="X4" s="334"/>
      <c r="Y4" s="334"/>
      <c r="Z4" s="334"/>
      <c r="AA4" s="334"/>
      <c r="AB4" s="334"/>
      <c r="AC4" s="334"/>
      <c r="AD4" s="334"/>
      <c r="AE4" s="334"/>
      <c r="AF4" s="334"/>
      <c r="AG4" s="334"/>
      <c r="AH4" s="334"/>
      <c r="AI4" s="334"/>
      <c r="AJ4" s="334"/>
      <c r="AK4" s="334"/>
      <c r="AL4" s="334"/>
      <c r="AM4" s="334"/>
      <c r="AN4" s="335"/>
      <c r="AO4" s="336"/>
      <c r="AP4" s="2046"/>
      <c r="AQ4" s="2046"/>
      <c r="AR4" s="2046"/>
    </row>
    <row r="5" spans="1:151" ht="15.7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 t="s">
        <v>210</v>
      </c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09"/>
      <c r="AO5" s="210"/>
      <c r="AP5" s="2044"/>
      <c r="AQ5" s="2044"/>
      <c r="AR5" s="2044"/>
      <c r="AS5" s="201"/>
      <c r="AT5" s="201"/>
      <c r="AU5" s="201"/>
      <c r="AV5" s="201"/>
      <c r="AW5" s="201"/>
      <c r="AX5" s="201"/>
    </row>
    <row r="6" spans="1:151" s="213" customFormat="1" ht="12.75">
      <c r="A6" s="211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 t="s">
        <v>211</v>
      </c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1"/>
      <c r="AO6" s="212"/>
      <c r="AP6" s="2047"/>
      <c r="AQ6" s="2047"/>
      <c r="AR6" s="2047"/>
    </row>
    <row r="7" spans="1:151" s="216" customFormat="1" ht="18" customHeight="1">
      <c r="A7" s="214"/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 t="s">
        <v>343</v>
      </c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4"/>
      <c r="AO7" s="215"/>
      <c r="AP7" s="2048"/>
      <c r="AQ7" s="2048"/>
      <c r="AR7" s="2048"/>
    </row>
    <row r="8" spans="1:151" s="216" customFormat="1" ht="18" customHeight="1">
      <c r="A8" s="214"/>
      <c r="B8" s="215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5" t="s">
        <v>212</v>
      </c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15"/>
      <c r="AI8" s="215"/>
      <c r="AJ8" s="215"/>
      <c r="AK8" s="215"/>
      <c r="AL8" s="215"/>
      <c r="AM8" s="215"/>
      <c r="AN8" s="214"/>
      <c r="AO8" s="215"/>
      <c r="AP8" s="2048"/>
      <c r="AQ8" s="2048"/>
      <c r="AR8" s="2048"/>
    </row>
    <row r="9" spans="1:151" s="213" customFormat="1" ht="18" customHeight="1">
      <c r="A9" s="211"/>
      <c r="B9" s="215"/>
      <c r="C9" s="215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 t="s">
        <v>259</v>
      </c>
      <c r="V9" s="215"/>
      <c r="W9" s="215"/>
      <c r="X9" s="215"/>
      <c r="Y9" s="215"/>
      <c r="Z9" s="215"/>
      <c r="AA9" s="215"/>
      <c r="AB9" s="215"/>
      <c r="AC9" s="215"/>
      <c r="AD9" s="215"/>
      <c r="AE9" s="215"/>
      <c r="AF9" s="215"/>
      <c r="AG9" s="215"/>
      <c r="AH9" s="215"/>
      <c r="AI9" s="215"/>
      <c r="AJ9" s="215"/>
      <c r="AK9" s="215"/>
      <c r="AL9" s="215"/>
      <c r="AM9" s="215"/>
      <c r="AN9" s="211"/>
      <c r="AO9" s="215"/>
      <c r="AP9" s="2047"/>
      <c r="AQ9" s="2047"/>
      <c r="AR9" s="2047"/>
    </row>
    <row r="10" spans="1:151" ht="2.25" customHeight="1">
      <c r="B10" s="217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17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44"/>
      <c r="AQ10" s="2044"/>
      <c r="AR10" s="2044"/>
      <c r="AS10" s="201"/>
      <c r="AT10" s="201"/>
      <c r="AU10" s="201"/>
      <c r="AV10" s="201"/>
      <c r="AW10" s="201"/>
      <c r="AX10" s="201"/>
    </row>
    <row r="11" spans="1:151">
      <c r="B11" s="209"/>
      <c r="C11" s="1899" t="s">
        <v>213</v>
      </c>
      <c r="D11" s="1899"/>
      <c r="E11" s="1899"/>
      <c r="F11" s="1899"/>
      <c r="G11" s="1899"/>
      <c r="H11" s="1899"/>
      <c r="I11" s="1899"/>
      <c r="J11" s="1899"/>
      <c r="K11" s="1899"/>
      <c r="L11" s="1899"/>
      <c r="M11" s="1899"/>
      <c r="N11" s="1899"/>
      <c r="O11" s="1899"/>
      <c r="P11" s="1899"/>
      <c r="Q11" s="1899"/>
      <c r="R11" s="1899"/>
      <c r="S11" s="1899"/>
      <c r="T11" s="1899"/>
      <c r="U11" s="211"/>
      <c r="V11" s="1899" t="s">
        <v>214</v>
      </c>
      <c r="W11" s="1899"/>
      <c r="X11" s="1899"/>
      <c r="Y11" s="1899"/>
      <c r="Z11" s="1899"/>
      <c r="AA11" s="1899"/>
      <c r="AB11" s="1899"/>
      <c r="AC11" s="1899"/>
      <c r="AD11" s="1899"/>
      <c r="AE11" s="1899"/>
      <c r="AF11" s="1899"/>
      <c r="AG11" s="1899"/>
      <c r="AH11" s="1899"/>
      <c r="AI11" s="1899"/>
      <c r="AJ11" s="1899"/>
      <c r="AK11" s="1899"/>
      <c r="AL11" s="1899"/>
      <c r="AM11" s="1899"/>
      <c r="AN11" s="209"/>
      <c r="AO11" s="209"/>
      <c r="AP11" s="2044"/>
      <c r="AQ11" s="2044"/>
      <c r="AR11" s="2044"/>
      <c r="AS11" s="201"/>
      <c r="AT11" s="201"/>
      <c r="AU11" s="201"/>
      <c r="AV11" s="201"/>
      <c r="AW11" s="201"/>
      <c r="AX11" s="201"/>
    </row>
    <row r="12" spans="1:151">
      <c r="B12" s="217"/>
      <c r="C12" s="1895" t="str">
        <f>'Master Deails'!$H$24</f>
        <v xml:space="preserve">Account Officer </v>
      </c>
      <c r="D12" s="1895"/>
      <c r="E12" s="1895"/>
      <c r="F12" s="1895"/>
      <c r="G12" s="1895"/>
      <c r="H12" s="1895"/>
      <c r="I12" s="1895"/>
      <c r="J12" s="1895"/>
      <c r="K12" s="1895"/>
      <c r="L12" s="1895"/>
      <c r="M12" s="1895"/>
      <c r="N12" s="1895"/>
      <c r="O12" s="1895"/>
      <c r="P12" s="1895"/>
      <c r="Q12" s="1895"/>
      <c r="R12" s="1895"/>
      <c r="S12" s="1895"/>
      <c r="T12" s="1895"/>
      <c r="V12" s="2029" t="str">
        <f>'Master Deails'!$A$8</f>
        <v>KIRITCHANDRA JAYANTILAL PATEL</v>
      </c>
      <c r="W12" s="2029"/>
      <c r="X12" s="2029"/>
      <c r="Y12" s="2029"/>
      <c r="Z12" s="2029"/>
      <c r="AA12" s="2029"/>
      <c r="AB12" s="2029"/>
      <c r="AC12" s="2029"/>
      <c r="AD12" s="2029"/>
      <c r="AE12" s="2029"/>
      <c r="AF12" s="2029"/>
      <c r="AG12" s="2029"/>
      <c r="AH12" s="2029"/>
      <c r="AI12" s="2029"/>
      <c r="AJ12" s="2029"/>
      <c r="AK12" s="2029"/>
      <c r="AL12" s="2029"/>
      <c r="AM12" s="2029"/>
      <c r="AN12" s="209"/>
      <c r="AO12" s="209"/>
      <c r="AP12" s="2044"/>
      <c r="AQ12" s="2044"/>
      <c r="AR12" s="2044"/>
      <c r="AS12" s="201"/>
      <c r="AT12" s="201"/>
      <c r="AU12" s="201"/>
      <c r="AV12" s="201"/>
      <c r="AW12" s="201"/>
      <c r="AX12" s="201"/>
    </row>
    <row r="13" spans="1:151" ht="10.5" customHeight="1">
      <c r="B13" s="217"/>
      <c r="C13" s="1895" t="str">
        <f>'Master Deails'!$H$26</f>
        <v>Ahwa</v>
      </c>
      <c r="D13" s="1895"/>
      <c r="E13" s="1895"/>
      <c r="F13" s="1895"/>
      <c r="G13" s="1895"/>
      <c r="H13" s="1895"/>
      <c r="I13" s="1895"/>
      <c r="J13" s="1895"/>
      <c r="K13" s="1895"/>
      <c r="L13" s="1895"/>
      <c r="M13" s="1895"/>
      <c r="N13" s="1895"/>
      <c r="O13" s="1895"/>
      <c r="P13" s="1895"/>
      <c r="Q13" s="1895"/>
      <c r="R13" s="1895"/>
      <c r="S13" s="1895"/>
      <c r="T13" s="1895"/>
      <c r="V13" s="2029" t="str">
        <f>'Master Deails'!$H$18</f>
        <v>Retired PS 2 DDO Dangs</v>
      </c>
      <c r="W13" s="2029"/>
      <c r="X13" s="2029"/>
      <c r="Y13" s="2029"/>
      <c r="Z13" s="2029"/>
      <c r="AA13" s="2029"/>
      <c r="AB13" s="2029"/>
      <c r="AC13" s="2029"/>
      <c r="AD13" s="2029"/>
      <c r="AE13" s="2029"/>
      <c r="AF13" s="2029"/>
      <c r="AG13" s="2029"/>
      <c r="AH13" s="2029"/>
      <c r="AI13" s="2029"/>
      <c r="AJ13" s="2029"/>
      <c r="AK13" s="2029"/>
      <c r="AL13" s="2029"/>
      <c r="AM13" s="2029"/>
      <c r="AN13" s="209"/>
      <c r="AO13" s="209"/>
      <c r="AP13" s="2044"/>
      <c r="AQ13" s="2044"/>
      <c r="AR13" s="2044"/>
      <c r="AS13" s="201"/>
      <c r="AT13" s="201"/>
      <c r="AU13" s="201"/>
      <c r="AV13" s="201"/>
      <c r="AW13" s="201"/>
      <c r="AX13" s="201"/>
    </row>
    <row r="14" spans="1:151" ht="17.100000000000001" customHeight="1">
      <c r="B14" s="217"/>
      <c r="C14" s="1889" t="s">
        <v>215</v>
      </c>
      <c r="D14" s="1890"/>
      <c r="E14" s="1890"/>
      <c r="F14" s="1890"/>
      <c r="G14" s="1890"/>
      <c r="H14" s="1890"/>
      <c r="I14" s="1890"/>
      <c r="J14" s="1890"/>
      <c r="K14" s="1891"/>
      <c r="L14" s="2030" t="s">
        <v>216</v>
      </c>
      <c r="M14" s="2031"/>
      <c r="N14" s="2031"/>
      <c r="O14" s="2031"/>
      <c r="P14" s="2031"/>
      <c r="Q14" s="2031"/>
      <c r="R14" s="2031"/>
      <c r="S14" s="2031"/>
      <c r="T14" s="2032"/>
      <c r="U14" s="219"/>
      <c r="V14" s="1890" t="s">
        <v>217</v>
      </c>
      <c r="W14" s="1890"/>
      <c r="X14" s="1890"/>
      <c r="Y14" s="1890"/>
      <c r="Z14" s="1890"/>
      <c r="AA14" s="1890"/>
      <c r="AB14" s="1890"/>
      <c r="AC14" s="1890"/>
      <c r="AD14" s="1890"/>
      <c r="AE14" s="1890"/>
      <c r="AF14" s="1890"/>
      <c r="AG14" s="1890"/>
      <c r="AH14" s="1890"/>
      <c r="AI14" s="1890"/>
      <c r="AJ14" s="1890"/>
      <c r="AK14" s="1890"/>
      <c r="AL14" s="1890"/>
      <c r="AM14" s="1890"/>
      <c r="AN14" s="209"/>
      <c r="AO14" s="209"/>
      <c r="AP14" s="2044"/>
      <c r="AQ14" s="2044"/>
      <c r="AR14" s="2044"/>
      <c r="AS14" s="201"/>
      <c r="AT14" s="201"/>
      <c r="AU14" s="201"/>
      <c r="AV14" s="201"/>
      <c r="AW14" s="201"/>
      <c r="AX14" s="201"/>
    </row>
    <row r="15" spans="1:151" ht="8.25" customHeight="1">
      <c r="B15" s="217"/>
      <c r="C15" s="220"/>
      <c r="D15" s="221"/>
      <c r="E15" s="1917" t="s">
        <v>218</v>
      </c>
      <c r="F15" s="1917"/>
      <c r="G15" s="1917"/>
      <c r="H15" s="1917"/>
      <c r="I15" s="1917"/>
      <c r="J15" s="1917"/>
      <c r="K15" s="222"/>
      <c r="L15" s="220"/>
      <c r="M15" s="221"/>
      <c r="N15" s="1895" t="str">
        <f>'Master Deails'!$H$21</f>
        <v>SRTD01139F</v>
      </c>
      <c r="O15" s="1895"/>
      <c r="P15" s="1895"/>
      <c r="Q15" s="1895"/>
      <c r="R15" s="1895"/>
      <c r="S15" s="221"/>
      <c r="T15" s="222"/>
      <c r="V15" s="2029" t="str">
        <f>'Master Deails'!$H$19</f>
        <v>ACFPP3047F</v>
      </c>
      <c r="W15" s="2029"/>
      <c r="X15" s="2029"/>
      <c r="Y15" s="2029"/>
      <c r="Z15" s="2029"/>
      <c r="AA15" s="2029"/>
      <c r="AB15" s="2029"/>
      <c r="AC15" s="2029"/>
      <c r="AD15" s="2029"/>
      <c r="AE15" s="2029"/>
      <c r="AF15" s="2029"/>
      <c r="AG15" s="2029"/>
      <c r="AH15" s="2029"/>
      <c r="AI15" s="2029"/>
      <c r="AJ15" s="2029"/>
      <c r="AK15" s="2029"/>
      <c r="AL15" s="2029"/>
      <c r="AM15" s="2029"/>
      <c r="AN15" s="209"/>
      <c r="AO15" s="209"/>
      <c r="AP15" s="2044"/>
      <c r="AQ15" s="2044"/>
      <c r="AR15" s="2044"/>
      <c r="AS15" s="201"/>
      <c r="AT15" s="201"/>
      <c r="AU15" s="201"/>
      <c r="AV15" s="201"/>
      <c r="AW15" s="201"/>
      <c r="AX15" s="201"/>
    </row>
    <row r="16" spans="1:151" ht="8.25" customHeight="1">
      <c r="B16" s="217"/>
      <c r="C16" s="226"/>
      <c r="D16" s="227"/>
      <c r="E16" s="1918"/>
      <c r="F16" s="1918"/>
      <c r="G16" s="1918"/>
      <c r="H16" s="1918"/>
      <c r="I16" s="1918"/>
      <c r="J16" s="1918"/>
      <c r="K16" s="228"/>
      <c r="L16" s="226"/>
      <c r="M16" s="227"/>
      <c r="N16" s="1896"/>
      <c r="O16" s="1896"/>
      <c r="P16" s="1896"/>
      <c r="Q16" s="1896"/>
      <c r="R16" s="1896"/>
      <c r="S16" s="227"/>
      <c r="T16" s="228"/>
      <c r="V16" s="1895"/>
      <c r="W16" s="1895"/>
      <c r="X16" s="1895"/>
      <c r="Y16" s="1895"/>
      <c r="Z16" s="1895"/>
      <c r="AA16" s="1895"/>
      <c r="AB16" s="1895"/>
      <c r="AC16" s="1895"/>
      <c r="AD16" s="1895"/>
      <c r="AE16" s="1895"/>
      <c r="AF16" s="1895"/>
      <c r="AG16" s="1895"/>
      <c r="AH16" s="1895"/>
      <c r="AI16" s="1895"/>
      <c r="AJ16" s="1895"/>
      <c r="AK16" s="1895"/>
      <c r="AL16" s="1895"/>
      <c r="AM16" s="1895"/>
      <c r="AN16" s="209"/>
      <c r="AO16" s="209"/>
      <c r="AP16" s="2044"/>
      <c r="AQ16" s="2044"/>
      <c r="AR16" s="2044"/>
      <c r="AS16" s="201"/>
      <c r="AT16" s="201"/>
      <c r="AU16" s="201"/>
      <c r="AV16" s="201"/>
      <c r="AW16" s="201"/>
      <c r="AX16" s="201"/>
    </row>
    <row r="17" spans="2:50" ht="13.5" customHeight="1">
      <c r="B17" s="217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  <c r="AP17" s="2044"/>
      <c r="AQ17" s="2044"/>
      <c r="AR17" s="2044"/>
      <c r="AS17" s="201"/>
      <c r="AT17" s="201"/>
      <c r="AU17" s="201"/>
      <c r="AV17" s="201"/>
      <c r="AW17" s="201"/>
      <c r="AX17" s="201"/>
    </row>
    <row r="18" spans="2:50" ht="13.5" customHeight="1">
      <c r="B18" s="217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11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  <c r="AP18" s="2044"/>
      <c r="AQ18" s="2044"/>
      <c r="AR18" s="2044"/>
      <c r="AS18" s="201"/>
      <c r="AT18" s="201"/>
      <c r="AU18" s="201"/>
      <c r="AV18" s="201"/>
      <c r="AW18" s="201"/>
      <c r="AX18" s="201"/>
    </row>
    <row r="19" spans="2:50" ht="7.5" customHeight="1">
      <c r="B19" s="217"/>
      <c r="C19" s="232"/>
      <c r="D19" s="1901" t="s">
        <v>219</v>
      </c>
      <c r="E19" s="1901"/>
      <c r="F19" s="1901"/>
      <c r="G19" s="1901"/>
      <c r="H19" s="1901"/>
      <c r="I19" s="1901"/>
      <c r="J19" s="1901"/>
      <c r="K19" s="1901"/>
      <c r="L19" s="1901"/>
      <c r="M19" s="1901"/>
      <c r="N19" s="1901"/>
      <c r="O19" s="1901"/>
      <c r="P19" s="1901"/>
      <c r="Q19" s="1901"/>
      <c r="R19" s="1901"/>
      <c r="S19" s="1901"/>
      <c r="T19" s="233"/>
      <c r="U19" s="1900" t="s">
        <v>75</v>
      </c>
      <c r="V19" s="1901"/>
      <c r="W19" s="1901"/>
      <c r="X19" s="1901"/>
      <c r="Y19" s="1901"/>
      <c r="Z19" s="1901"/>
      <c r="AA19" s="1901"/>
      <c r="AB19" s="1901"/>
      <c r="AC19" s="1902"/>
      <c r="AD19" s="234"/>
      <c r="AE19" s="1900" t="s">
        <v>220</v>
      </c>
      <c r="AF19" s="1901"/>
      <c r="AG19" s="1901"/>
      <c r="AH19" s="1901"/>
      <c r="AI19" s="1901"/>
      <c r="AJ19" s="1901"/>
      <c r="AK19" s="1901"/>
      <c r="AL19" s="1901"/>
      <c r="AM19" s="1901"/>
      <c r="AN19" s="1902"/>
      <c r="AO19" s="209"/>
      <c r="AP19" s="2044"/>
      <c r="AQ19" s="2044"/>
      <c r="AR19" s="2044"/>
      <c r="AS19" s="201"/>
      <c r="AT19" s="201"/>
      <c r="AU19" s="201"/>
      <c r="AV19" s="201"/>
      <c r="AW19" s="201"/>
      <c r="AX19" s="201"/>
    </row>
    <row r="20" spans="2:50" ht="7.5" customHeight="1">
      <c r="B20" s="217"/>
      <c r="C20" s="235"/>
      <c r="D20" s="1904"/>
      <c r="E20" s="1904"/>
      <c r="F20" s="1904"/>
      <c r="G20" s="1904"/>
      <c r="H20" s="1904"/>
      <c r="I20" s="1904"/>
      <c r="J20" s="1904"/>
      <c r="K20" s="1904"/>
      <c r="L20" s="1904"/>
      <c r="M20" s="1904"/>
      <c r="N20" s="1904"/>
      <c r="O20" s="1904"/>
      <c r="P20" s="1904"/>
      <c r="Q20" s="1904"/>
      <c r="R20" s="1904"/>
      <c r="S20" s="1904"/>
      <c r="T20" s="236"/>
      <c r="U20" s="1903"/>
      <c r="V20" s="1904"/>
      <c r="W20" s="1904"/>
      <c r="X20" s="1904"/>
      <c r="Y20" s="1904"/>
      <c r="Z20" s="1904"/>
      <c r="AA20" s="1904"/>
      <c r="AB20" s="1904"/>
      <c r="AC20" s="1905"/>
      <c r="AD20" s="234"/>
      <c r="AE20" s="1903"/>
      <c r="AF20" s="1904"/>
      <c r="AG20" s="1904"/>
      <c r="AH20" s="1904"/>
      <c r="AI20" s="1904"/>
      <c r="AJ20" s="1904"/>
      <c r="AK20" s="1904"/>
      <c r="AL20" s="1904"/>
      <c r="AM20" s="1904"/>
      <c r="AN20" s="1905"/>
      <c r="AO20" s="209"/>
      <c r="AP20" s="2044"/>
      <c r="AQ20" s="2044"/>
      <c r="AR20" s="2044"/>
      <c r="AS20" s="201"/>
      <c r="AT20" s="201"/>
      <c r="AU20" s="201"/>
      <c r="AV20" s="201"/>
      <c r="AW20" s="201"/>
      <c r="AX20" s="201"/>
    </row>
    <row r="21" spans="2:50" ht="0.75" customHeight="1">
      <c r="B21" s="217"/>
      <c r="C21" s="235"/>
      <c r="T21" s="236"/>
      <c r="U21" s="1903"/>
      <c r="V21" s="1904"/>
      <c r="W21" s="1904"/>
      <c r="X21" s="1904"/>
      <c r="Y21" s="1904"/>
      <c r="Z21" s="1904"/>
      <c r="AA21" s="1904"/>
      <c r="AB21" s="1904"/>
      <c r="AC21" s="1905"/>
      <c r="AD21" s="234"/>
      <c r="AE21" s="1906"/>
      <c r="AF21" s="1907"/>
      <c r="AG21" s="1907"/>
      <c r="AH21" s="1907"/>
      <c r="AI21" s="1907"/>
      <c r="AJ21" s="1907"/>
      <c r="AK21" s="1907"/>
      <c r="AL21" s="1907"/>
      <c r="AM21" s="1907"/>
      <c r="AN21" s="1908"/>
      <c r="AO21" s="209"/>
      <c r="AP21" s="2044"/>
      <c r="AQ21" s="2044"/>
      <c r="AR21" s="2044"/>
      <c r="AS21" s="201"/>
      <c r="AT21" s="201"/>
      <c r="AU21" s="201"/>
      <c r="AV21" s="201"/>
      <c r="AW21" s="201"/>
      <c r="AX21" s="201"/>
    </row>
    <row r="22" spans="2:50">
      <c r="B22" s="217"/>
      <c r="C22" s="235"/>
      <c r="D22" s="218" t="s">
        <v>221</v>
      </c>
      <c r="E22" s="237"/>
      <c r="F22" s="237"/>
      <c r="G22" s="1892" t="s">
        <v>325</v>
      </c>
      <c r="H22" s="1892"/>
      <c r="I22" s="1892"/>
      <c r="J22" s="1892"/>
      <c r="K22" s="1892"/>
      <c r="L22" s="1892"/>
      <c r="M22" s="1892"/>
      <c r="N22" s="1892"/>
      <c r="O22" s="1892"/>
      <c r="P22" s="1892"/>
      <c r="Q22" s="1892"/>
      <c r="R22" s="1892"/>
      <c r="S22" s="1892"/>
      <c r="T22" s="236"/>
      <c r="U22" s="235"/>
      <c r="V22" s="238"/>
      <c r="W22" s="238"/>
      <c r="X22" s="238"/>
      <c r="Y22" s="238"/>
      <c r="Z22" s="239"/>
      <c r="AA22" s="239"/>
      <c r="AC22" s="236"/>
      <c r="AD22" s="234"/>
      <c r="AE22" s="1889" t="s">
        <v>222</v>
      </c>
      <c r="AF22" s="1890"/>
      <c r="AG22" s="1890"/>
      <c r="AH22" s="1890"/>
      <c r="AI22" s="1891"/>
      <c r="AJ22" s="1889" t="s">
        <v>223</v>
      </c>
      <c r="AK22" s="1890"/>
      <c r="AL22" s="1890"/>
      <c r="AM22" s="1890"/>
      <c r="AN22" s="1891"/>
      <c r="AO22" s="209"/>
      <c r="AP22" s="2044"/>
      <c r="AQ22" s="2044"/>
      <c r="AR22" s="2044"/>
      <c r="AS22" s="201"/>
      <c r="AT22" s="201"/>
      <c r="AU22" s="201"/>
      <c r="AV22" s="201"/>
      <c r="AW22" s="201"/>
      <c r="AX22" s="201"/>
    </row>
    <row r="23" spans="2:50">
      <c r="B23" s="217"/>
      <c r="C23" s="235"/>
      <c r="D23" s="1912" t="s">
        <v>312</v>
      </c>
      <c r="E23" s="1912"/>
      <c r="F23" s="1912"/>
      <c r="G23" s="1912"/>
      <c r="H23" s="1912"/>
      <c r="I23" s="1912"/>
      <c r="J23" s="1912"/>
      <c r="K23" s="1912"/>
      <c r="L23" s="1912"/>
      <c r="M23" s="1912"/>
      <c r="N23" s="1912"/>
      <c r="O23" s="1912"/>
      <c r="P23" s="1912"/>
      <c r="Q23" s="1912"/>
      <c r="R23" s="1912"/>
      <c r="S23" s="1912"/>
      <c r="T23" s="236"/>
      <c r="U23" s="235"/>
      <c r="V23" s="1913">
        <f>'Master Deails'!G2</f>
        <v>44562</v>
      </c>
      <c r="W23" s="1913"/>
      <c r="X23" s="1913"/>
      <c r="Y23" s="1914">
        <f>'Master Deails'!H2</f>
        <v>45119</v>
      </c>
      <c r="Z23" s="1914"/>
      <c r="AA23" s="1914"/>
      <c r="AB23" s="1914"/>
      <c r="AC23" s="236"/>
      <c r="AD23" s="240"/>
      <c r="AE23" s="1869">
        <f>'Master Deails'!C2+31</f>
        <v>44287</v>
      </c>
      <c r="AF23" s="1870"/>
      <c r="AG23" s="1870"/>
      <c r="AH23" s="1870"/>
      <c r="AI23" s="1871"/>
      <c r="AJ23" s="1869">
        <f>AE23+30+30+30</f>
        <v>44377</v>
      </c>
      <c r="AK23" s="1870"/>
      <c r="AL23" s="1870"/>
      <c r="AM23" s="1870"/>
      <c r="AN23" s="1871"/>
      <c r="AO23" s="209"/>
      <c r="AP23" s="2044"/>
      <c r="AQ23" s="2044"/>
      <c r="AR23" s="2044"/>
      <c r="AS23" s="201"/>
      <c r="AT23" s="201"/>
      <c r="AU23" s="201"/>
      <c r="AV23" s="201"/>
      <c r="AW23" s="201"/>
      <c r="AX23" s="201"/>
    </row>
    <row r="24" spans="2:50">
      <c r="B24" s="217"/>
      <c r="C24" s="235"/>
      <c r="D24" s="1909" t="s">
        <v>326</v>
      </c>
      <c r="E24" s="1909"/>
      <c r="F24" s="1909"/>
      <c r="G24" s="1909"/>
      <c r="H24" s="1909"/>
      <c r="I24" s="1909"/>
      <c r="J24" s="1909"/>
      <c r="K24" s="1909"/>
      <c r="L24" s="1909"/>
      <c r="M24" s="1909"/>
      <c r="N24" s="1909"/>
      <c r="O24" s="1909"/>
      <c r="P24" s="1909"/>
      <c r="Q24" s="1909"/>
      <c r="R24" s="1909"/>
      <c r="S24" s="1909"/>
      <c r="T24" s="236"/>
      <c r="U24" s="235"/>
      <c r="V24" s="1913"/>
      <c r="W24" s="1913"/>
      <c r="X24" s="1913"/>
      <c r="Y24" s="1914"/>
      <c r="Z24" s="1914"/>
      <c r="AA24" s="1914"/>
      <c r="AB24" s="1914"/>
      <c r="AC24" s="236"/>
      <c r="AD24" s="240"/>
      <c r="AE24" s="1869">
        <f>AJ23+1</f>
        <v>44378</v>
      </c>
      <c r="AF24" s="1870"/>
      <c r="AG24" s="1870"/>
      <c r="AH24" s="1870"/>
      <c r="AI24" s="1871"/>
      <c r="AJ24" s="1869">
        <f>AE24+91</f>
        <v>44469</v>
      </c>
      <c r="AK24" s="1870"/>
      <c r="AL24" s="1870"/>
      <c r="AM24" s="1870"/>
      <c r="AN24" s="1871"/>
      <c r="AO24" s="209"/>
      <c r="AP24" s="2044"/>
      <c r="AQ24" s="2044"/>
      <c r="AR24" s="2044"/>
      <c r="AS24" s="201"/>
      <c r="AT24" s="201"/>
      <c r="AU24" s="201"/>
      <c r="AV24" s="201"/>
      <c r="AW24" s="201"/>
      <c r="AX24" s="201"/>
    </row>
    <row r="25" spans="2:50">
      <c r="B25" s="217"/>
      <c r="C25" s="235"/>
      <c r="D25" s="268" t="s">
        <v>224</v>
      </c>
      <c r="E25" s="241"/>
      <c r="F25" s="1114" t="str">
        <f>'Master Deails'!H20</f>
        <v>Valsad</v>
      </c>
      <c r="G25" s="1114"/>
      <c r="H25" s="1114"/>
      <c r="I25" s="1114"/>
      <c r="J25" s="1114"/>
      <c r="K25" s="1114"/>
      <c r="L25" s="367" t="s">
        <v>225</v>
      </c>
      <c r="M25" s="242"/>
      <c r="N25" s="242"/>
      <c r="O25" s="2033">
        <v>396445</v>
      </c>
      <c r="P25" s="2033"/>
      <c r="Q25" s="2033"/>
      <c r="R25" s="2033"/>
      <c r="S25" s="2033"/>
      <c r="T25" s="236"/>
      <c r="U25" s="235"/>
      <c r="V25" s="238"/>
      <c r="W25" s="238"/>
      <c r="X25" s="238"/>
      <c r="Y25" s="238"/>
      <c r="Z25" s="239"/>
      <c r="AA25" s="239"/>
      <c r="AC25" s="236"/>
      <c r="AD25" s="240"/>
      <c r="AE25" s="1869">
        <f>AJ24+1</f>
        <v>44470</v>
      </c>
      <c r="AF25" s="1870"/>
      <c r="AG25" s="1870"/>
      <c r="AH25" s="1870"/>
      <c r="AI25" s="1871"/>
      <c r="AJ25" s="1869">
        <f>AE25+91</f>
        <v>44561</v>
      </c>
      <c r="AK25" s="1870"/>
      <c r="AL25" s="1870"/>
      <c r="AM25" s="1870"/>
      <c r="AN25" s="1871"/>
      <c r="AO25" s="209"/>
      <c r="AP25" s="2044"/>
      <c r="AQ25" s="2044"/>
      <c r="AR25" s="2044"/>
      <c r="AS25" s="201"/>
      <c r="AT25" s="201"/>
      <c r="AU25" s="201"/>
      <c r="AV25" s="201"/>
      <c r="AW25" s="201"/>
      <c r="AX25" s="201"/>
    </row>
    <row r="26" spans="2:50">
      <c r="B26" s="217"/>
      <c r="C26" s="243"/>
      <c r="D26" s="244"/>
      <c r="E26" s="244"/>
      <c r="F26" s="244"/>
      <c r="G26" s="244"/>
      <c r="H26" s="244"/>
      <c r="I26" s="244"/>
      <c r="J26" s="244"/>
      <c r="K26" s="245"/>
      <c r="L26" s="245"/>
      <c r="M26" s="245"/>
      <c r="N26" s="245"/>
      <c r="O26" s="245"/>
      <c r="P26" s="245"/>
      <c r="Q26" s="245"/>
      <c r="R26" s="245"/>
      <c r="S26" s="245"/>
      <c r="T26" s="246"/>
      <c r="U26" s="243"/>
      <c r="V26" s="247"/>
      <c r="W26" s="247"/>
      <c r="X26" s="247"/>
      <c r="Y26" s="247"/>
      <c r="Z26" s="248"/>
      <c r="AA26" s="248"/>
      <c r="AB26" s="249"/>
      <c r="AC26" s="246"/>
      <c r="AD26" s="240"/>
      <c r="AE26" s="1869">
        <f>AJ25+1</f>
        <v>44562</v>
      </c>
      <c r="AF26" s="1870"/>
      <c r="AG26" s="1870"/>
      <c r="AH26" s="1870"/>
      <c r="AI26" s="1871"/>
      <c r="AJ26" s="1869">
        <f>AE26+28+30+31</f>
        <v>44651</v>
      </c>
      <c r="AK26" s="1870"/>
      <c r="AL26" s="1870"/>
      <c r="AM26" s="1870"/>
      <c r="AN26" s="1871"/>
      <c r="AO26" s="209"/>
      <c r="AP26" s="2044"/>
      <c r="AQ26" s="2044"/>
      <c r="AR26" s="2044"/>
      <c r="AS26" s="201"/>
      <c r="AT26" s="201"/>
      <c r="AU26" s="201"/>
      <c r="AV26" s="201"/>
      <c r="AW26" s="201"/>
      <c r="AX26" s="201"/>
    </row>
    <row r="27" spans="2:50" ht="5.25" customHeight="1">
      <c r="B27" s="217"/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11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44"/>
      <c r="AQ27" s="2044"/>
      <c r="AR27" s="2044"/>
      <c r="AS27" s="201"/>
      <c r="AT27" s="201"/>
      <c r="AU27" s="201"/>
      <c r="AV27" s="201"/>
      <c r="AW27" s="201"/>
      <c r="AX27" s="201"/>
    </row>
    <row r="28" spans="2:50">
      <c r="B28" s="217"/>
      <c r="C28" s="251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3" t="s">
        <v>226</v>
      </c>
      <c r="U28" s="254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2"/>
      <c r="AG28" s="252"/>
      <c r="AH28" s="252"/>
      <c r="AI28" s="252"/>
      <c r="AJ28" s="252"/>
      <c r="AK28" s="252"/>
      <c r="AL28" s="252"/>
      <c r="AM28" s="255"/>
      <c r="AN28" s="209"/>
      <c r="AO28" s="209"/>
      <c r="AP28" s="2044"/>
      <c r="AQ28" s="2044"/>
      <c r="AR28" s="2044"/>
      <c r="AS28" s="201"/>
      <c r="AT28" s="201"/>
      <c r="AU28" s="201"/>
      <c r="AV28" s="201"/>
      <c r="AW28" s="201"/>
      <c r="AX28" s="201"/>
    </row>
    <row r="29" spans="2:50" ht="15" customHeight="1">
      <c r="B29" s="217"/>
      <c r="C29" s="234"/>
      <c r="D29" s="1915" t="s">
        <v>227</v>
      </c>
      <c r="E29" s="1915"/>
      <c r="F29" s="1915"/>
      <c r="G29" s="1915"/>
      <c r="H29" s="1915"/>
      <c r="I29" s="1915"/>
      <c r="J29" s="1915"/>
      <c r="K29" s="1916" t="s">
        <v>228</v>
      </c>
      <c r="L29" s="1916"/>
      <c r="M29" s="1916"/>
      <c r="N29" s="1916"/>
      <c r="O29" s="1916"/>
      <c r="P29" s="1916"/>
      <c r="Q29" s="1916"/>
      <c r="R29" s="1916"/>
      <c r="S29" s="1916"/>
      <c r="T29" s="256"/>
      <c r="U29" s="1873" t="s">
        <v>229</v>
      </c>
      <c r="V29" s="1874"/>
      <c r="W29" s="1874"/>
      <c r="X29" s="1874"/>
      <c r="Y29" s="1874"/>
      <c r="Z29" s="1874"/>
      <c r="AA29" s="1874"/>
      <c r="AB29" s="1874"/>
      <c r="AC29" s="1875"/>
      <c r="AD29" s="387"/>
      <c r="AE29" s="1873" t="s">
        <v>230</v>
      </c>
      <c r="AF29" s="1874"/>
      <c r="AG29" s="1874"/>
      <c r="AH29" s="1874"/>
      <c r="AI29" s="1874"/>
      <c r="AJ29" s="1874"/>
      <c r="AK29" s="1874"/>
      <c r="AL29" s="1874"/>
      <c r="AM29" s="387"/>
      <c r="AN29" s="209"/>
      <c r="AO29" s="209"/>
      <c r="AP29" s="2044"/>
      <c r="AQ29" s="2044"/>
      <c r="AR29" s="2044"/>
      <c r="AS29" s="201"/>
      <c r="AT29" s="201"/>
      <c r="AU29" s="201"/>
      <c r="AV29" s="201"/>
      <c r="AW29" s="201"/>
      <c r="AX29" s="201"/>
    </row>
    <row r="30" spans="2:50">
      <c r="B30" s="217"/>
      <c r="C30" s="234"/>
      <c r="D30" s="1915"/>
      <c r="E30" s="1915"/>
      <c r="F30" s="1915"/>
      <c r="G30" s="1915"/>
      <c r="H30" s="1915"/>
      <c r="I30" s="1915"/>
      <c r="J30" s="1915"/>
      <c r="K30" s="1916"/>
      <c r="L30" s="1916"/>
      <c r="M30" s="1916"/>
      <c r="N30" s="1916"/>
      <c r="O30" s="1916"/>
      <c r="P30" s="1916"/>
      <c r="Q30" s="1916"/>
      <c r="R30" s="1916"/>
      <c r="S30" s="1916"/>
      <c r="T30" s="256"/>
      <c r="U30" s="1876"/>
      <c r="V30" s="1877"/>
      <c r="W30" s="1877"/>
      <c r="X30" s="1877"/>
      <c r="Y30" s="1877"/>
      <c r="Z30" s="1877"/>
      <c r="AA30" s="1877"/>
      <c r="AB30" s="1877"/>
      <c r="AC30" s="1878"/>
      <c r="AD30" s="388"/>
      <c r="AE30" s="1876"/>
      <c r="AF30" s="1877"/>
      <c r="AG30" s="1877"/>
      <c r="AH30" s="1877"/>
      <c r="AI30" s="1877"/>
      <c r="AJ30" s="1877"/>
      <c r="AK30" s="1877"/>
      <c r="AL30" s="1877"/>
      <c r="AM30" s="388"/>
      <c r="AN30" s="209"/>
      <c r="AO30" s="209"/>
      <c r="AP30" s="2044"/>
      <c r="AQ30" s="2044"/>
      <c r="AR30" s="2044"/>
      <c r="AS30" s="201"/>
      <c r="AT30" s="201"/>
      <c r="AU30" s="201"/>
      <c r="AV30" s="201"/>
      <c r="AW30" s="201"/>
      <c r="AX30" s="201"/>
    </row>
    <row r="31" spans="2:50">
      <c r="B31" s="217"/>
      <c r="C31" s="235"/>
      <c r="D31" s="1915"/>
      <c r="E31" s="1915"/>
      <c r="F31" s="1915"/>
      <c r="G31" s="1915"/>
      <c r="H31" s="1915"/>
      <c r="I31" s="1915"/>
      <c r="J31" s="1915"/>
      <c r="K31" s="1916"/>
      <c r="L31" s="1916"/>
      <c r="M31" s="1916"/>
      <c r="N31" s="1916"/>
      <c r="O31" s="1916"/>
      <c r="P31" s="1916"/>
      <c r="Q31" s="1916"/>
      <c r="R31" s="1916"/>
      <c r="S31" s="1916"/>
      <c r="T31" s="256"/>
      <c r="U31" s="1876"/>
      <c r="V31" s="1877"/>
      <c r="W31" s="1877"/>
      <c r="X31" s="1877"/>
      <c r="Y31" s="1877"/>
      <c r="Z31" s="1877"/>
      <c r="AA31" s="1877"/>
      <c r="AB31" s="1877"/>
      <c r="AC31" s="1878"/>
      <c r="AD31" s="388"/>
      <c r="AE31" s="1876"/>
      <c r="AF31" s="1877"/>
      <c r="AG31" s="1877"/>
      <c r="AH31" s="1877"/>
      <c r="AI31" s="1877"/>
      <c r="AJ31" s="1877"/>
      <c r="AK31" s="1877"/>
      <c r="AL31" s="1877"/>
      <c r="AM31" s="388"/>
      <c r="AN31" s="209"/>
      <c r="AO31" s="209"/>
      <c r="AP31" s="2044"/>
      <c r="AQ31" s="2044"/>
      <c r="AR31" s="2044"/>
      <c r="AS31" s="201"/>
      <c r="AT31" s="201"/>
      <c r="AU31" s="201"/>
      <c r="AV31" s="201"/>
      <c r="AW31" s="201"/>
      <c r="AX31" s="201"/>
    </row>
    <row r="32" spans="2:50">
      <c r="B32" s="217"/>
      <c r="C32" s="235"/>
      <c r="D32" s="1915"/>
      <c r="E32" s="1915"/>
      <c r="F32" s="1915"/>
      <c r="G32" s="1915"/>
      <c r="H32" s="1915"/>
      <c r="I32" s="1915"/>
      <c r="J32" s="1915"/>
      <c r="K32" s="1916"/>
      <c r="L32" s="1916"/>
      <c r="M32" s="1916"/>
      <c r="N32" s="1916"/>
      <c r="O32" s="1916"/>
      <c r="P32" s="1916"/>
      <c r="Q32" s="1916"/>
      <c r="R32" s="1916"/>
      <c r="S32" s="1916"/>
      <c r="T32" s="256"/>
      <c r="U32" s="1879"/>
      <c r="V32" s="1880"/>
      <c r="W32" s="1880"/>
      <c r="X32" s="1880"/>
      <c r="Y32" s="1880"/>
      <c r="Z32" s="1880"/>
      <c r="AA32" s="1880"/>
      <c r="AB32" s="1880"/>
      <c r="AC32" s="1881"/>
      <c r="AD32" s="388"/>
      <c r="AE32" s="1876"/>
      <c r="AF32" s="1877"/>
      <c r="AG32" s="1877"/>
      <c r="AH32" s="1877"/>
      <c r="AI32" s="1877"/>
      <c r="AJ32" s="1877"/>
      <c r="AK32" s="1877"/>
      <c r="AL32" s="1877"/>
      <c r="AM32" s="388"/>
      <c r="AN32" s="209"/>
      <c r="AO32" s="209"/>
      <c r="AP32" s="2044"/>
      <c r="AQ32" s="2044"/>
      <c r="AR32" s="2044"/>
      <c r="AS32" s="201"/>
      <c r="AT32" s="201"/>
      <c r="AU32" s="201"/>
      <c r="AV32" s="201"/>
      <c r="AW32" s="201"/>
      <c r="AX32" s="201"/>
    </row>
    <row r="33" spans="2:51">
      <c r="B33" s="217"/>
      <c r="C33" s="235"/>
      <c r="D33" s="1885" t="s">
        <v>310</v>
      </c>
      <c r="E33" s="1885"/>
      <c r="F33" s="1885"/>
      <c r="G33" s="1885"/>
      <c r="H33" s="1885"/>
      <c r="I33" s="1885"/>
      <c r="J33" s="1885"/>
      <c r="K33" s="1872">
        <v>25000</v>
      </c>
      <c r="L33" s="1872"/>
      <c r="M33" s="1872"/>
      <c r="N33" s="1872"/>
      <c r="O33" s="1872"/>
      <c r="P33" s="1872"/>
      <c r="Q33" s="1872"/>
      <c r="R33" s="1872"/>
      <c r="S33" s="1872"/>
      <c r="T33" s="256"/>
      <c r="U33" s="1872">
        <v>3600</v>
      </c>
      <c r="V33" s="1872"/>
      <c r="W33" s="1872"/>
      <c r="X33" s="1872"/>
      <c r="Y33" s="1872"/>
      <c r="Z33" s="1872"/>
      <c r="AA33" s="1872"/>
      <c r="AB33" s="1872"/>
      <c r="AC33" s="1872"/>
      <c r="AD33" s="257"/>
      <c r="AE33" s="1872">
        <f>900*4</f>
        <v>3600</v>
      </c>
      <c r="AF33" s="1872"/>
      <c r="AG33" s="1872"/>
      <c r="AH33" s="1872"/>
      <c r="AI33" s="1872"/>
      <c r="AJ33" s="1872"/>
      <c r="AK33" s="1872"/>
      <c r="AL33" s="1872"/>
      <c r="AM33" s="1872"/>
      <c r="AN33" s="209"/>
      <c r="AO33" s="209"/>
      <c r="AP33" s="2044"/>
      <c r="AQ33" s="2044"/>
      <c r="AR33" s="2044"/>
      <c r="AS33" s="201"/>
      <c r="AT33" s="201"/>
      <c r="AU33" s="201"/>
      <c r="AV33" s="201"/>
      <c r="AW33" s="201"/>
      <c r="AX33" s="201"/>
    </row>
    <row r="34" spans="2:51">
      <c r="B34" s="217"/>
      <c r="C34" s="235"/>
      <c r="D34" s="1885" t="s">
        <v>311</v>
      </c>
      <c r="E34" s="1885"/>
      <c r="F34" s="1885"/>
      <c r="G34" s="1885"/>
      <c r="H34" s="1885"/>
      <c r="I34" s="1885"/>
      <c r="J34" s="1885"/>
      <c r="K34" s="1872">
        <v>26000</v>
      </c>
      <c r="L34" s="1872"/>
      <c r="M34" s="1872"/>
      <c r="N34" s="1872"/>
      <c r="O34" s="1872"/>
      <c r="P34" s="1872"/>
      <c r="Q34" s="1872"/>
      <c r="R34" s="1872"/>
      <c r="S34" s="1872"/>
      <c r="T34" s="256"/>
      <c r="U34" s="1872">
        <f>U33</f>
        <v>3600</v>
      </c>
      <c r="V34" s="1872"/>
      <c r="W34" s="1872"/>
      <c r="X34" s="1872"/>
      <c r="Y34" s="1872"/>
      <c r="Z34" s="1872"/>
      <c r="AA34" s="1872"/>
      <c r="AB34" s="1872"/>
      <c r="AC34" s="1872"/>
      <c r="AD34" s="257"/>
      <c r="AE34" s="1872">
        <f>AE33</f>
        <v>3600</v>
      </c>
      <c r="AF34" s="1872"/>
      <c r="AG34" s="1872"/>
      <c r="AH34" s="1872"/>
      <c r="AI34" s="1872"/>
      <c r="AJ34" s="1872"/>
      <c r="AK34" s="1872"/>
      <c r="AL34" s="1872"/>
      <c r="AM34" s="1872"/>
      <c r="AN34" s="209"/>
      <c r="AO34" s="209"/>
      <c r="AP34" s="2044"/>
      <c r="AQ34" s="2044"/>
      <c r="AR34" s="2044"/>
      <c r="AS34" s="201"/>
      <c r="AT34" s="201"/>
      <c r="AU34" s="201"/>
      <c r="AV34" s="201"/>
      <c r="AW34" s="201"/>
      <c r="AX34" s="201"/>
    </row>
    <row r="35" spans="2:51">
      <c r="B35" s="217"/>
      <c r="C35" s="235"/>
      <c r="D35" s="1885" t="s">
        <v>308</v>
      </c>
      <c r="E35" s="1885"/>
      <c r="F35" s="1885"/>
      <c r="G35" s="1885"/>
      <c r="H35" s="1885"/>
      <c r="I35" s="1885"/>
      <c r="J35" s="1885"/>
      <c r="K35" s="1872">
        <v>29000</v>
      </c>
      <c r="L35" s="1872"/>
      <c r="M35" s="1872"/>
      <c r="N35" s="1872"/>
      <c r="O35" s="1872"/>
      <c r="P35" s="1872"/>
      <c r="Q35" s="1872"/>
      <c r="R35" s="1872"/>
      <c r="S35" s="1872"/>
      <c r="T35" s="258"/>
      <c r="U35" s="1872">
        <f>U34</f>
        <v>3600</v>
      </c>
      <c r="V35" s="1872"/>
      <c r="W35" s="1872"/>
      <c r="X35" s="1872"/>
      <c r="Y35" s="1872"/>
      <c r="Z35" s="1872"/>
      <c r="AA35" s="1872"/>
      <c r="AB35" s="1872"/>
      <c r="AC35" s="1872"/>
      <c r="AD35" s="257"/>
      <c r="AE35" s="1872">
        <f>AE34</f>
        <v>3600</v>
      </c>
      <c r="AF35" s="1872"/>
      <c r="AG35" s="1872"/>
      <c r="AH35" s="1872"/>
      <c r="AI35" s="1872"/>
      <c r="AJ35" s="1872"/>
      <c r="AK35" s="1872"/>
      <c r="AL35" s="1872"/>
      <c r="AM35" s="1872"/>
      <c r="AN35" s="209"/>
      <c r="AO35" s="209"/>
      <c r="AP35" s="2044"/>
      <c r="AQ35" s="2044"/>
      <c r="AR35" s="2044"/>
      <c r="AS35" s="201"/>
      <c r="AT35" s="201"/>
      <c r="AU35" s="201"/>
      <c r="AV35" s="201"/>
      <c r="AW35" s="201"/>
      <c r="AX35" s="201"/>
    </row>
    <row r="36" spans="2:51">
      <c r="B36" s="217"/>
      <c r="C36" s="235"/>
      <c r="D36" s="1885" t="s">
        <v>309</v>
      </c>
      <c r="E36" s="1885"/>
      <c r="F36" s="1885"/>
      <c r="G36" s="1885"/>
      <c r="H36" s="1885"/>
      <c r="I36" s="1885"/>
      <c r="J36" s="1885"/>
      <c r="K36" s="1872">
        <v>35000</v>
      </c>
      <c r="L36" s="1872"/>
      <c r="M36" s="1872"/>
      <c r="N36" s="1872"/>
      <c r="O36" s="1872"/>
      <c r="P36" s="1872"/>
      <c r="Q36" s="1872"/>
      <c r="R36" s="1872"/>
      <c r="S36" s="1872"/>
      <c r="T36" s="258"/>
      <c r="U36" s="1872">
        <v>5345</v>
      </c>
      <c r="V36" s="1872"/>
      <c r="W36" s="1872"/>
      <c r="X36" s="1872"/>
      <c r="Y36" s="1872"/>
      <c r="Z36" s="1872"/>
      <c r="AA36" s="1872"/>
      <c r="AB36" s="1872"/>
      <c r="AC36" s="1872"/>
      <c r="AD36" s="257"/>
      <c r="AE36" s="1872">
        <f>16145-10800</f>
        <v>5345</v>
      </c>
      <c r="AF36" s="1872"/>
      <c r="AG36" s="1872"/>
      <c r="AH36" s="1872"/>
      <c r="AI36" s="1872"/>
      <c r="AJ36" s="1872"/>
      <c r="AK36" s="1872"/>
      <c r="AL36" s="1872"/>
      <c r="AM36" s="1872"/>
      <c r="AN36" s="209"/>
      <c r="AO36" s="209"/>
      <c r="AP36" s="2044"/>
      <c r="AQ36" s="2044"/>
      <c r="AR36" s="2044"/>
      <c r="AS36" s="201"/>
      <c r="AT36" s="201"/>
      <c r="AU36" s="201"/>
      <c r="AV36" s="201"/>
      <c r="AW36" s="201"/>
      <c r="AX36" s="201"/>
    </row>
    <row r="37" spans="2:51">
      <c r="B37" s="217"/>
      <c r="C37" s="229"/>
      <c r="D37" s="1885" t="s">
        <v>70</v>
      </c>
      <c r="E37" s="1885"/>
      <c r="F37" s="1885"/>
      <c r="G37" s="1885"/>
      <c r="H37" s="1885"/>
      <c r="I37" s="1885"/>
      <c r="J37" s="1885"/>
      <c r="K37" s="1885">
        <f>SUM(K33:S36)</f>
        <v>115000</v>
      </c>
      <c r="L37" s="1885"/>
      <c r="M37" s="1885"/>
      <c r="N37" s="1885"/>
      <c r="O37" s="1885"/>
      <c r="P37" s="1885"/>
      <c r="Q37" s="1885"/>
      <c r="R37" s="1885"/>
      <c r="S37" s="1885"/>
      <c r="T37" s="563"/>
      <c r="U37" s="1885">
        <f>SUM(U33:AC36)</f>
        <v>16145</v>
      </c>
      <c r="V37" s="1885"/>
      <c r="W37" s="1885"/>
      <c r="X37" s="1885"/>
      <c r="Y37" s="1885"/>
      <c r="Z37" s="1885"/>
      <c r="AA37" s="1885"/>
      <c r="AB37" s="1885"/>
      <c r="AC37" s="1885"/>
      <c r="AD37" s="585"/>
      <c r="AE37" s="1885">
        <f>SUM(AE33:AM36)</f>
        <v>16145</v>
      </c>
      <c r="AF37" s="1885"/>
      <c r="AG37" s="1885"/>
      <c r="AH37" s="1885"/>
      <c r="AI37" s="1885"/>
      <c r="AJ37" s="1885"/>
      <c r="AK37" s="1885"/>
      <c r="AL37" s="1885"/>
      <c r="AM37" s="1885"/>
      <c r="AN37" s="209"/>
      <c r="AO37" s="209"/>
      <c r="AP37" s="2044"/>
      <c r="AQ37" s="2044"/>
      <c r="AR37" s="2044"/>
      <c r="AS37" s="201"/>
      <c r="AT37" s="201"/>
      <c r="AU37" s="201"/>
      <c r="AV37" s="201"/>
      <c r="AW37" s="201"/>
      <c r="AX37" s="201"/>
    </row>
    <row r="38" spans="2:51" ht="4.5" customHeight="1">
      <c r="B38" s="217"/>
      <c r="C38" s="250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11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44"/>
      <c r="AQ38" s="2044"/>
      <c r="AR38" s="2044"/>
      <c r="AS38" s="201"/>
      <c r="AT38" s="201"/>
      <c r="AU38" s="201"/>
      <c r="AV38" s="201"/>
      <c r="AW38" s="201"/>
      <c r="AX38" s="201"/>
    </row>
    <row r="39" spans="2:51">
      <c r="B39" s="217"/>
      <c r="C39" s="1919" t="s">
        <v>231</v>
      </c>
      <c r="D39" s="1919"/>
      <c r="E39" s="1919"/>
      <c r="F39" s="1919"/>
      <c r="G39" s="1919"/>
      <c r="H39" s="1919"/>
      <c r="I39" s="1919"/>
      <c r="J39" s="1919"/>
      <c r="K39" s="1919"/>
      <c r="L39" s="1919"/>
      <c r="M39" s="1919"/>
      <c r="N39" s="1919"/>
      <c r="O39" s="1919"/>
      <c r="P39" s="1919"/>
      <c r="Q39" s="1919"/>
      <c r="R39" s="1919"/>
      <c r="S39" s="1919"/>
      <c r="T39" s="1919"/>
      <c r="U39" s="1919"/>
      <c r="V39" s="1919"/>
      <c r="W39" s="1919"/>
      <c r="X39" s="1919"/>
      <c r="Y39" s="1919"/>
      <c r="Z39" s="1919"/>
      <c r="AA39" s="1919"/>
      <c r="AB39" s="1919"/>
      <c r="AC39" s="1919"/>
      <c r="AD39" s="1919"/>
      <c r="AE39" s="1919"/>
      <c r="AF39" s="1919"/>
      <c r="AG39" s="1919"/>
      <c r="AH39" s="1919"/>
      <c r="AI39" s="1919"/>
      <c r="AJ39" s="1919"/>
      <c r="AK39" s="1919"/>
      <c r="AL39" s="1919"/>
      <c r="AM39" s="1919"/>
      <c r="AN39" s="209"/>
      <c r="AO39" s="209"/>
      <c r="AP39" s="2044"/>
      <c r="AQ39" s="2044"/>
      <c r="AR39" s="2044"/>
      <c r="AS39" s="201"/>
      <c r="AT39" s="201"/>
      <c r="AU39" s="201"/>
      <c r="AV39" s="201"/>
      <c r="AW39" s="201"/>
      <c r="AX39" s="201"/>
    </row>
    <row r="40" spans="2:51" ht="2.25" customHeight="1">
      <c r="B40" s="217"/>
      <c r="C40" s="250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11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44"/>
      <c r="AQ40" s="2044"/>
      <c r="AR40" s="2044"/>
      <c r="AS40" s="201"/>
      <c r="AT40" s="201"/>
      <c r="AU40" s="201"/>
      <c r="AV40" s="201"/>
      <c r="AW40" s="201"/>
      <c r="AX40" s="201"/>
    </row>
    <row r="41" spans="2:51">
      <c r="B41" s="259"/>
      <c r="C41" s="1919" t="s">
        <v>232</v>
      </c>
      <c r="D41" s="1919"/>
      <c r="E41" s="1919"/>
      <c r="F41" s="1919"/>
      <c r="G41" s="1919"/>
      <c r="H41" s="1919"/>
      <c r="I41" s="1919"/>
      <c r="J41" s="1919"/>
      <c r="K41" s="1919"/>
      <c r="L41" s="1919"/>
      <c r="M41" s="1919"/>
      <c r="N41" s="1919"/>
      <c r="O41" s="1919"/>
      <c r="P41" s="1919"/>
      <c r="Q41" s="1919"/>
      <c r="R41" s="1919"/>
      <c r="S41" s="1919"/>
      <c r="T41" s="1919"/>
      <c r="U41" s="1919"/>
      <c r="V41" s="1919"/>
      <c r="W41" s="1919"/>
      <c r="X41" s="1919"/>
      <c r="Y41" s="1919"/>
      <c r="Z41" s="1919"/>
      <c r="AA41" s="1919"/>
      <c r="AB41" s="1919"/>
      <c r="AC41" s="1919"/>
      <c r="AD41" s="1919"/>
      <c r="AE41" s="1919"/>
      <c r="AF41" s="1919"/>
      <c r="AG41" s="1919"/>
      <c r="AH41" s="1919"/>
      <c r="AI41" s="1919"/>
      <c r="AJ41" s="1919"/>
      <c r="AK41" s="1919"/>
      <c r="AL41" s="1919"/>
      <c r="AM41" s="1919"/>
      <c r="AN41" s="218"/>
      <c r="AO41" s="218"/>
    </row>
    <row r="42" spans="2:51" ht="3" customHeight="1">
      <c r="B42" s="259"/>
      <c r="C42" s="261"/>
      <c r="AN42" s="218"/>
      <c r="AO42" s="218"/>
    </row>
    <row r="43" spans="2:51">
      <c r="B43" s="259"/>
      <c r="C43" s="262" t="s">
        <v>233</v>
      </c>
      <c r="E43" s="218" t="s">
        <v>83</v>
      </c>
      <c r="V43" s="325"/>
      <c r="W43" s="1829"/>
      <c r="X43" s="1829"/>
      <c r="Y43" s="1829"/>
      <c r="Z43" s="1829"/>
      <c r="AA43" s="1829"/>
      <c r="AB43" s="325"/>
      <c r="AC43" s="1829"/>
      <c r="AD43" s="1829"/>
      <c r="AE43" s="1829"/>
      <c r="AF43" s="1829"/>
      <c r="AG43" s="1829"/>
      <c r="AH43" s="325"/>
      <c r="AI43" s="2034" t="s">
        <v>303</v>
      </c>
      <c r="AJ43" s="2034"/>
      <c r="AK43" s="2034"/>
      <c r="AL43" s="2034"/>
      <c r="AM43" s="2034"/>
      <c r="AN43" s="218"/>
      <c r="AO43" s="218"/>
      <c r="AY43" s="260"/>
    </row>
    <row r="44" spans="2:51">
      <c r="B44" s="259"/>
      <c r="C44" s="262"/>
      <c r="E44" s="218" t="s">
        <v>104</v>
      </c>
      <c r="G44" s="218" t="s">
        <v>622</v>
      </c>
      <c r="AB44" s="325" t="s">
        <v>234</v>
      </c>
      <c r="AC44" s="1837">
        <f>'Calculation (NEW)'!V14</f>
        <v>905042</v>
      </c>
      <c r="AD44" s="1838"/>
      <c r="AE44" s="1838"/>
      <c r="AF44" s="1838"/>
      <c r="AG44" s="1839"/>
      <c r="AH44" s="325"/>
      <c r="AI44" s="1829"/>
      <c r="AJ44" s="1829"/>
      <c r="AK44" s="1829"/>
      <c r="AL44" s="1829"/>
      <c r="AM44" s="1829"/>
      <c r="AN44" s="218"/>
      <c r="AO44" s="218"/>
      <c r="AY44" s="260"/>
    </row>
    <row r="45" spans="2:51">
      <c r="B45" s="259"/>
      <c r="C45" s="262"/>
      <c r="E45" s="218" t="s">
        <v>76</v>
      </c>
      <c r="G45" s="218" t="s">
        <v>623</v>
      </c>
      <c r="AB45" s="325" t="s">
        <v>234</v>
      </c>
      <c r="AC45" s="1886">
        <v>0</v>
      </c>
      <c r="AD45" s="1887"/>
      <c r="AE45" s="1887"/>
      <c r="AF45" s="1887"/>
      <c r="AG45" s="1888"/>
      <c r="AH45" s="325"/>
      <c r="AI45" s="1829"/>
      <c r="AJ45" s="1829"/>
      <c r="AK45" s="1829"/>
      <c r="AL45" s="1829"/>
      <c r="AM45" s="1829"/>
      <c r="AN45" s="218"/>
      <c r="AO45" s="218"/>
      <c r="AY45" s="260"/>
    </row>
    <row r="46" spans="2:51">
      <c r="B46" s="259"/>
      <c r="C46" s="262"/>
      <c r="E46" s="218" t="s">
        <v>105</v>
      </c>
      <c r="G46" s="218" t="s">
        <v>624</v>
      </c>
      <c r="AB46" s="325" t="s">
        <v>234</v>
      </c>
      <c r="AC46" s="1886">
        <v>0</v>
      </c>
      <c r="AD46" s="1887"/>
      <c r="AE46" s="1887"/>
      <c r="AF46" s="1887"/>
      <c r="AG46" s="1888"/>
      <c r="AH46" s="325"/>
      <c r="AI46" s="1829"/>
      <c r="AJ46" s="1829"/>
      <c r="AK46" s="1829"/>
      <c r="AL46" s="1829"/>
      <c r="AM46" s="1829"/>
      <c r="AN46" s="218"/>
      <c r="AO46" s="218"/>
      <c r="AY46" s="260"/>
    </row>
    <row r="47" spans="2:51" ht="8.25" customHeight="1">
      <c r="B47" s="259"/>
      <c r="C47" s="262"/>
      <c r="T47" s="326"/>
      <c r="V47" s="325"/>
      <c r="W47" s="1831"/>
      <c r="X47" s="1831"/>
      <c r="Y47" s="1831"/>
      <c r="Z47" s="1831"/>
      <c r="AA47" s="1831"/>
      <c r="AB47" s="325"/>
      <c r="AC47" s="1829"/>
      <c r="AD47" s="1829"/>
      <c r="AE47" s="1829"/>
      <c r="AF47" s="1829"/>
      <c r="AG47" s="1829"/>
      <c r="AH47" s="325"/>
      <c r="AI47" s="1829"/>
      <c r="AJ47" s="1829"/>
      <c r="AK47" s="1829"/>
      <c r="AL47" s="1829"/>
      <c r="AM47" s="1829"/>
      <c r="AN47" s="218"/>
      <c r="AO47" s="218"/>
      <c r="AY47" s="260"/>
    </row>
    <row r="48" spans="2:51">
      <c r="B48" s="259"/>
      <c r="C48" s="262"/>
      <c r="G48" s="237" t="s">
        <v>70</v>
      </c>
      <c r="T48" s="326"/>
      <c r="V48" s="325"/>
      <c r="W48" s="1831"/>
      <c r="X48" s="1831"/>
      <c r="Y48" s="1831"/>
      <c r="Z48" s="1831"/>
      <c r="AA48" s="1831"/>
      <c r="AH48" s="325" t="s">
        <v>234</v>
      </c>
      <c r="AI48" s="1837">
        <f>AC44+AC45+AC46</f>
        <v>905042</v>
      </c>
      <c r="AJ48" s="1838"/>
      <c r="AK48" s="1838"/>
      <c r="AL48" s="1838"/>
      <c r="AM48" s="1839"/>
      <c r="AN48" s="218"/>
      <c r="AO48" s="218"/>
      <c r="AY48" s="260"/>
    </row>
    <row r="49" spans="1:51" ht="5.25" customHeight="1">
      <c r="B49" s="259"/>
      <c r="C49" s="267"/>
      <c r="V49" s="325"/>
      <c r="W49" s="355"/>
      <c r="X49" s="355"/>
      <c r="Y49" s="355"/>
      <c r="Z49" s="355"/>
      <c r="AA49" s="355"/>
      <c r="AH49" s="325"/>
      <c r="AI49" s="325"/>
      <c r="AJ49" s="325"/>
      <c r="AK49" s="325"/>
      <c r="AL49" s="325"/>
      <c r="AM49" s="325"/>
      <c r="AN49" s="218"/>
      <c r="AO49" s="218"/>
      <c r="AY49" s="260"/>
    </row>
    <row r="50" spans="1:51" s="274" customFormat="1">
      <c r="A50" s="209"/>
      <c r="B50" s="268"/>
      <c r="C50" s="262" t="s">
        <v>557</v>
      </c>
      <c r="D50" s="272" t="s">
        <v>541</v>
      </c>
      <c r="E50" s="268"/>
      <c r="F50" s="268"/>
      <c r="G50" s="268"/>
      <c r="H50" s="268"/>
      <c r="I50" s="268"/>
      <c r="J50" s="268"/>
      <c r="K50" s="268"/>
      <c r="L50" s="268"/>
      <c r="M50" s="268"/>
      <c r="N50" s="268"/>
      <c r="O50" s="268"/>
      <c r="P50" s="268"/>
      <c r="Q50" s="268"/>
      <c r="R50" s="268"/>
      <c r="S50" s="268"/>
      <c r="T50" s="268"/>
      <c r="U50" s="268"/>
      <c r="V50" s="325"/>
      <c r="W50" s="1831"/>
      <c r="X50" s="1831"/>
      <c r="Y50" s="1831"/>
      <c r="Z50" s="1831"/>
      <c r="AA50" s="1831"/>
      <c r="AH50" s="325" t="s">
        <v>234</v>
      </c>
      <c r="AI50" s="1837">
        <f>V52+V53+V54+V55+V56+V58+V57</f>
        <v>25000</v>
      </c>
      <c r="AJ50" s="1838"/>
      <c r="AK50" s="1838"/>
      <c r="AL50" s="1838"/>
      <c r="AM50" s="1839"/>
      <c r="AN50" s="218"/>
      <c r="AO50" s="218"/>
      <c r="AP50" s="2050"/>
      <c r="AQ50" s="2050"/>
      <c r="AR50" s="2050"/>
      <c r="AS50" s="263"/>
      <c r="AT50" s="263"/>
      <c r="AU50" s="263"/>
      <c r="AV50" s="263"/>
      <c r="AW50" s="263"/>
      <c r="AX50" s="263"/>
      <c r="AY50" s="263"/>
    </row>
    <row r="51" spans="1:51" s="274" customFormat="1">
      <c r="A51" s="209"/>
      <c r="B51" s="268"/>
      <c r="C51" s="268"/>
      <c r="D51" s="1882" t="s">
        <v>118</v>
      </c>
      <c r="E51" s="1883"/>
      <c r="F51" s="1883"/>
      <c r="G51" s="1883"/>
      <c r="H51" s="1883"/>
      <c r="I51" s="1883"/>
      <c r="J51" s="1883"/>
      <c r="K51" s="1883"/>
      <c r="L51" s="1883"/>
      <c r="M51" s="1883"/>
      <c r="N51" s="1883"/>
      <c r="O51" s="1884"/>
      <c r="P51" s="1882" t="s">
        <v>381</v>
      </c>
      <c r="Q51" s="1883"/>
      <c r="R51" s="1883"/>
      <c r="S51" s="1883"/>
      <c r="T51" s="1884"/>
      <c r="U51" s="268"/>
      <c r="V51" s="2016" t="s">
        <v>380</v>
      </c>
      <c r="W51" s="2017"/>
      <c r="X51" s="2017"/>
      <c r="Y51" s="2017"/>
      <c r="Z51" s="2018"/>
      <c r="AA51" s="355"/>
      <c r="AB51" s="325"/>
      <c r="AC51" s="1829"/>
      <c r="AD51" s="1829"/>
      <c r="AE51" s="1829"/>
      <c r="AF51" s="1829"/>
      <c r="AG51" s="1829"/>
      <c r="AH51" s="325"/>
      <c r="AI51" s="1829"/>
      <c r="AJ51" s="1829"/>
      <c r="AK51" s="1829"/>
      <c r="AL51" s="1829"/>
      <c r="AM51" s="1829"/>
      <c r="AN51" s="218"/>
      <c r="AO51" s="218"/>
      <c r="AP51" s="2050"/>
      <c r="AQ51" s="2050"/>
      <c r="AR51" s="2050"/>
      <c r="AS51" s="263"/>
      <c r="AT51" s="263"/>
      <c r="AU51" s="263"/>
      <c r="AV51" s="263"/>
      <c r="AW51" s="263"/>
      <c r="AX51" s="263"/>
      <c r="AY51" s="263"/>
    </row>
    <row r="52" spans="1:51" s="274" customFormat="1">
      <c r="A52" s="209"/>
      <c r="B52" s="268"/>
      <c r="C52" s="268"/>
      <c r="D52" s="2007" t="str">
        <f>'Calculation (OLD)'!E20</f>
        <v>Retirement Gratuity</v>
      </c>
      <c r="E52" s="2008"/>
      <c r="F52" s="2008"/>
      <c r="G52" s="2008"/>
      <c r="H52" s="2008"/>
      <c r="I52" s="2008"/>
      <c r="J52" s="2008"/>
      <c r="K52" s="2008"/>
      <c r="L52" s="2008"/>
      <c r="M52" s="2008"/>
      <c r="N52" s="2008"/>
      <c r="O52" s="2009"/>
      <c r="P52" s="2013">
        <f>'Calculation (NEW)'!P20</f>
        <v>1500000</v>
      </c>
      <c r="Q52" s="2014"/>
      <c r="R52" s="2014"/>
      <c r="S52" s="2014"/>
      <c r="T52" s="2015"/>
      <c r="U52" s="328"/>
      <c r="V52" s="2019">
        <f>'Calculation (NEW)'!S20</f>
        <v>0</v>
      </c>
      <c r="W52" s="2020"/>
      <c r="X52" s="2020"/>
      <c r="Y52" s="2020"/>
      <c r="Z52" s="2021"/>
      <c r="AA52" s="355"/>
      <c r="AB52" s="325"/>
      <c r="AC52" s="1829"/>
      <c r="AD52" s="1829"/>
      <c r="AE52" s="1829"/>
      <c r="AF52" s="1829"/>
      <c r="AG52" s="1829"/>
      <c r="AH52" s="325"/>
      <c r="AI52" s="1829"/>
      <c r="AJ52" s="1829"/>
      <c r="AK52" s="1829"/>
      <c r="AL52" s="1829"/>
      <c r="AM52" s="1829"/>
      <c r="AN52" s="218"/>
      <c r="AO52" s="218"/>
      <c r="AP52" s="2050"/>
      <c r="AQ52" s="2050"/>
      <c r="AR52" s="2050"/>
      <c r="AS52" s="263"/>
      <c r="AT52" s="263"/>
      <c r="AU52" s="263"/>
      <c r="AV52" s="263"/>
      <c r="AW52" s="263"/>
      <c r="AX52" s="263"/>
      <c r="AY52" s="263"/>
    </row>
    <row r="53" spans="1:51" s="274" customFormat="1">
      <c r="A53" s="209"/>
      <c r="B53" s="268"/>
      <c r="C53" s="268"/>
      <c r="D53" s="2007" t="str">
        <f>'Calculation (OLD)'!E21</f>
        <v xml:space="preserve">Leave Salary in Retirement Govt. Employee </v>
      </c>
      <c r="E53" s="2008"/>
      <c r="F53" s="2008"/>
      <c r="G53" s="2008"/>
      <c r="H53" s="2008"/>
      <c r="I53" s="2008"/>
      <c r="J53" s="2008"/>
      <c r="K53" s="2008"/>
      <c r="L53" s="2008"/>
      <c r="M53" s="2008"/>
      <c r="N53" s="2008"/>
      <c r="O53" s="2009"/>
      <c r="P53" s="2010">
        <f>'Calculation (NEW)'!P21</f>
        <v>400000</v>
      </c>
      <c r="Q53" s="2011"/>
      <c r="R53" s="2011"/>
      <c r="S53" s="2011"/>
      <c r="T53" s="2012"/>
      <c r="U53" s="268"/>
      <c r="V53" s="2019">
        <f>'Calculation (NEW)'!S21</f>
        <v>0</v>
      </c>
      <c r="W53" s="2020"/>
      <c r="X53" s="2020"/>
      <c r="Y53" s="2020"/>
      <c r="Z53" s="2021"/>
      <c r="AA53" s="355"/>
      <c r="AB53" s="325"/>
      <c r="AC53" s="1829"/>
      <c r="AD53" s="1829"/>
      <c r="AE53" s="1829"/>
      <c r="AF53" s="1829"/>
      <c r="AG53" s="1829"/>
      <c r="AH53" s="325"/>
      <c r="AI53" s="1829"/>
      <c r="AJ53" s="1829"/>
      <c r="AK53" s="1829"/>
      <c r="AL53" s="1829"/>
      <c r="AM53" s="1829"/>
      <c r="AN53" s="218"/>
      <c r="AO53" s="218"/>
      <c r="AP53" s="2050"/>
      <c r="AQ53" s="2050"/>
      <c r="AR53" s="2050"/>
      <c r="AS53" s="263"/>
      <c r="AT53" s="263"/>
      <c r="AU53" s="263"/>
      <c r="AV53" s="263"/>
      <c r="AW53" s="263"/>
      <c r="AX53" s="263"/>
      <c r="AY53" s="263"/>
    </row>
    <row r="54" spans="1:51" s="274" customFormat="1">
      <c r="A54" s="209"/>
      <c r="B54" s="268"/>
      <c r="C54" s="268"/>
      <c r="D54" s="2007" t="str">
        <f>'Calculation (OLD)'!E22</f>
        <v>Retrenchment Compensation</v>
      </c>
      <c r="E54" s="2008"/>
      <c r="F54" s="2008"/>
      <c r="G54" s="2008"/>
      <c r="H54" s="2008"/>
      <c r="I54" s="2008"/>
      <c r="J54" s="2008"/>
      <c r="K54" s="2008"/>
      <c r="L54" s="2008"/>
      <c r="M54" s="2008"/>
      <c r="N54" s="2008"/>
      <c r="O54" s="2009"/>
      <c r="P54" s="2010">
        <f>'Calculation (NEW)'!P22</f>
        <v>2500000</v>
      </c>
      <c r="Q54" s="2011"/>
      <c r="R54" s="2011"/>
      <c r="S54" s="2011"/>
      <c r="T54" s="2012"/>
      <c r="U54" s="338"/>
      <c r="V54" s="2019">
        <f>'Calculation (NEW)'!S22</f>
        <v>0</v>
      </c>
      <c r="W54" s="2020"/>
      <c r="X54" s="2020"/>
      <c r="Y54" s="2020"/>
      <c r="Z54" s="2021"/>
      <c r="AA54" s="355"/>
      <c r="AB54" s="325"/>
      <c r="AC54" s="1829"/>
      <c r="AD54" s="1829"/>
      <c r="AE54" s="1829"/>
      <c r="AF54" s="1829"/>
      <c r="AG54" s="1829"/>
      <c r="AH54" s="325"/>
      <c r="AI54" s="1829"/>
      <c r="AJ54" s="1829"/>
      <c r="AK54" s="1829"/>
      <c r="AL54" s="1829"/>
      <c r="AM54" s="1829"/>
      <c r="AN54" s="218"/>
      <c r="AO54" s="218"/>
      <c r="AP54" s="2050"/>
      <c r="AQ54" s="2050"/>
      <c r="AR54" s="2050"/>
      <c r="AS54" s="263"/>
      <c r="AT54" s="263"/>
      <c r="AU54" s="263"/>
      <c r="AV54" s="263"/>
      <c r="AW54" s="263"/>
      <c r="AX54" s="263"/>
      <c r="AY54" s="263"/>
    </row>
    <row r="55" spans="1:51" s="274" customFormat="1">
      <c r="A55" s="209"/>
      <c r="B55" s="268"/>
      <c r="C55" s="268"/>
      <c r="D55" s="2007" t="str">
        <f>'Calculation (OLD)'!E23</f>
        <v>Agricultural Income</v>
      </c>
      <c r="E55" s="2008"/>
      <c r="F55" s="2008"/>
      <c r="G55" s="2008"/>
      <c r="H55" s="2008"/>
      <c r="I55" s="2008"/>
      <c r="J55" s="2008"/>
      <c r="K55" s="2008"/>
      <c r="L55" s="2008"/>
      <c r="M55" s="2008"/>
      <c r="N55" s="2008"/>
      <c r="O55" s="2009"/>
      <c r="P55" s="2010">
        <f>'Calculation (NEW)'!P23</f>
        <v>5000</v>
      </c>
      <c r="Q55" s="2011"/>
      <c r="R55" s="2011"/>
      <c r="S55" s="2011"/>
      <c r="T55" s="2012"/>
      <c r="U55" s="338"/>
      <c r="V55" s="2019">
        <f>'Calculation (NEW)'!S23</f>
        <v>5000</v>
      </c>
      <c r="W55" s="2020"/>
      <c r="X55" s="2020"/>
      <c r="Y55" s="2020"/>
      <c r="Z55" s="2021"/>
      <c r="AA55" s="355"/>
      <c r="AB55" s="325"/>
      <c r="AC55" s="1829"/>
      <c r="AD55" s="1829"/>
      <c r="AE55" s="1829"/>
      <c r="AF55" s="1829"/>
      <c r="AG55" s="1829"/>
      <c r="AH55" s="325"/>
      <c r="AI55" s="1829"/>
      <c r="AJ55" s="1829"/>
      <c r="AK55" s="1829"/>
      <c r="AL55" s="1829"/>
      <c r="AM55" s="1829"/>
      <c r="AN55" s="218"/>
      <c r="AO55" s="218"/>
      <c r="AP55" s="2050"/>
      <c r="AQ55" s="2050"/>
      <c r="AR55" s="2050"/>
      <c r="AS55" s="263"/>
      <c r="AT55" s="263"/>
      <c r="AU55" s="263"/>
      <c r="AV55" s="263"/>
      <c r="AW55" s="263"/>
      <c r="AX55" s="263"/>
      <c r="AY55" s="263"/>
    </row>
    <row r="56" spans="1:51" s="274" customFormat="1">
      <c r="A56" s="209"/>
      <c r="B56" s="268"/>
      <c r="C56" s="268"/>
      <c r="D56" s="2007" t="str">
        <f>'Calculation (OLD)'!E24</f>
        <v>Family Pension</v>
      </c>
      <c r="E56" s="2008"/>
      <c r="F56" s="2008"/>
      <c r="G56" s="2008"/>
      <c r="H56" s="2008"/>
      <c r="I56" s="2008"/>
      <c r="J56" s="2008"/>
      <c r="K56" s="2008"/>
      <c r="L56" s="2008"/>
      <c r="M56" s="2008"/>
      <c r="N56" s="2008"/>
      <c r="O56" s="2009"/>
      <c r="P56" s="2010">
        <f>'Calculation (NEW)'!P24</f>
        <v>40000</v>
      </c>
      <c r="Q56" s="2011"/>
      <c r="R56" s="2011"/>
      <c r="S56" s="2011"/>
      <c r="T56" s="2012"/>
      <c r="U56" s="338"/>
      <c r="V56" s="2019">
        <f>'Calculation (NEW)'!S24</f>
        <v>0</v>
      </c>
      <c r="W56" s="2020"/>
      <c r="X56" s="2020"/>
      <c r="Y56" s="2020"/>
      <c r="Z56" s="2021"/>
      <c r="AA56" s="355"/>
      <c r="AB56" s="325"/>
      <c r="AC56" s="325"/>
      <c r="AD56" s="325"/>
      <c r="AE56" s="325"/>
      <c r="AF56" s="325"/>
      <c r="AG56" s="325"/>
      <c r="AH56" s="325"/>
      <c r="AI56" s="325"/>
      <c r="AJ56" s="325"/>
      <c r="AK56" s="325"/>
      <c r="AL56" s="325"/>
      <c r="AM56" s="325"/>
      <c r="AN56" s="218"/>
      <c r="AO56" s="218"/>
      <c r="AP56" s="2050"/>
      <c r="AQ56" s="2050"/>
      <c r="AR56" s="2050"/>
      <c r="AS56" s="263"/>
      <c r="AT56" s="263"/>
      <c r="AU56" s="263"/>
      <c r="AV56" s="263"/>
      <c r="AW56" s="263"/>
      <c r="AX56" s="263"/>
      <c r="AY56" s="263"/>
    </row>
    <row r="57" spans="1:51" s="274" customFormat="1" ht="29.25" customHeight="1">
      <c r="A57" s="209"/>
      <c r="B57" s="268"/>
      <c r="C57" s="268"/>
      <c r="D57" s="2022" t="s">
        <v>596</v>
      </c>
      <c r="E57" s="2023"/>
      <c r="F57" s="2023"/>
      <c r="G57" s="2023"/>
      <c r="H57" s="2023"/>
      <c r="I57" s="2023"/>
      <c r="J57" s="2023"/>
      <c r="K57" s="2023"/>
      <c r="L57" s="2023"/>
      <c r="M57" s="2023"/>
      <c r="N57" s="2023"/>
      <c r="O57" s="2024"/>
      <c r="P57" s="2010">
        <f>'Calculation (NEW)'!S15+'Calculation (NEW)'!S16+'Calculation (NEW)'!S17+'Calculation (NEW)'!S18+'Calculation (NEW)'!S19</f>
        <v>20000</v>
      </c>
      <c r="Q57" s="2011"/>
      <c r="R57" s="2011"/>
      <c r="S57" s="2011"/>
      <c r="T57" s="2012"/>
      <c r="U57" s="338"/>
      <c r="V57" s="2019">
        <f>P57</f>
        <v>20000</v>
      </c>
      <c r="W57" s="2020"/>
      <c r="X57" s="2020"/>
      <c r="Y57" s="2020"/>
      <c r="Z57" s="2021"/>
      <c r="AA57" s="355"/>
      <c r="AB57" s="325"/>
      <c r="AC57" s="325"/>
      <c r="AD57" s="325"/>
      <c r="AE57" s="325"/>
      <c r="AF57" s="325"/>
      <c r="AG57" s="325"/>
      <c r="AH57" s="325"/>
      <c r="AI57" s="325"/>
      <c r="AJ57" s="325"/>
      <c r="AK57" s="325"/>
      <c r="AL57" s="325"/>
      <c r="AM57" s="325"/>
      <c r="AN57" s="218"/>
      <c r="AO57" s="218"/>
      <c r="AP57" s="2050"/>
      <c r="AQ57" s="2050"/>
      <c r="AR57" s="2050"/>
      <c r="AS57" s="263"/>
      <c r="AT57" s="263"/>
      <c r="AU57" s="263"/>
      <c r="AV57" s="263"/>
      <c r="AW57" s="263"/>
      <c r="AX57" s="263"/>
      <c r="AY57" s="263"/>
    </row>
    <row r="58" spans="1:51" s="274" customFormat="1">
      <c r="A58" s="209"/>
      <c r="B58" s="268"/>
      <c r="C58" s="268"/>
      <c r="D58" s="2007" t="str">
        <f>'Calculation (OLD)'!E25</f>
        <v>Other Income Sources [ if any ]</v>
      </c>
      <c r="E58" s="2008"/>
      <c r="F58" s="2008"/>
      <c r="G58" s="2008"/>
      <c r="H58" s="2008"/>
      <c r="I58" s="2008"/>
      <c r="J58" s="2008"/>
      <c r="K58" s="2008"/>
      <c r="L58" s="2008"/>
      <c r="M58" s="2008"/>
      <c r="N58" s="2008"/>
      <c r="O58" s="2009"/>
      <c r="P58" s="2010">
        <f>'Calculation (NEW)'!P25</f>
        <v>0</v>
      </c>
      <c r="Q58" s="2011"/>
      <c r="R58" s="2011"/>
      <c r="S58" s="2011"/>
      <c r="T58" s="2012"/>
      <c r="U58" s="338"/>
      <c r="V58" s="2019">
        <f>'Calculation (NEW)'!S25</f>
        <v>0</v>
      </c>
      <c r="W58" s="2020"/>
      <c r="X58" s="2020"/>
      <c r="Y58" s="2020"/>
      <c r="Z58" s="2021"/>
      <c r="AA58" s="355"/>
      <c r="AB58" s="325"/>
      <c r="AC58" s="1829"/>
      <c r="AD58" s="1829"/>
      <c r="AE58" s="1829"/>
      <c r="AF58" s="1829"/>
      <c r="AG58" s="1829"/>
      <c r="AH58" s="325"/>
      <c r="AI58" s="1829"/>
      <c r="AJ58" s="1829"/>
      <c r="AK58" s="1829"/>
      <c r="AL58" s="1829"/>
      <c r="AM58" s="1829"/>
      <c r="AN58" s="218"/>
      <c r="AO58" s="218"/>
      <c r="AP58" s="2050"/>
      <c r="AQ58" s="2050"/>
      <c r="AR58" s="2050"/>
      <c r="AS58" s="263"/>
      <c r="AT58" s="263"/>
      <c r="AU58" s="263"/>
      <c r="AV58" s="263"/>
      <c r="AW58" s="263"/>
      <c r="AX58" s="263"/>
      <c r="AY58" s="263"/>
    </row>
    <row r="59" spans="1:51" ht="5.25" customHeight="1">
      <c r="B59" s="259"/>
      <c r="C59" s="267"/>
      <c r="V59" s="325"/>
      <c r="W59" s="355"/>
      <c r="X59" s="355"/>
      <c r="Y59" s="355"/>
      <c r="Z59" s="355"/>
      <c r="AA59" s="355"/>
      <c r="AB59" s="325"/>
      <c r="AC59" s="325"/>
      <c r="AD59" s="325"/>
      <c r="AE59" s="325"/>
      <c r="AF59" s="325"/>
      <c r="AG59" s="325"/>
      <c r="AH59" s="325"/>
      <c r="AI59" s="325"/>
      <c r="AJ59" s="325"/>
      <c r="AK59" s="325"/>
      <c r="AL59" s="325"/>
      <c r="AM59" s="325"/>
      <c r="AN59" s="218"/>
      <c r="AO59" s="218"/>
      <c r="AY59" s="260"/>
    </row>
    <row r="60" spans="1:51" ht="15" customHeight="1">
      <c r="B60" s="259"/>
      <c r="C60" s="262"/>
      <c r="G60" s="237" t="s">
        <v>619</v>
      </c>
      <c r="T60" s="326"/>
      <c r="V60" s="325"/>
      <c r="W60" s="1831"/>
      <c r="X60" s="1831"/>
      <c r="Y60" s="1831"/>
      <c r="Z60" s="1831"/>
      <c r="AA60" s="1831"/>
      <c r="AH60" s="325" t="s">
        <v>234</v>
      </c>
      <c r="AI60" s="1837">
        <f>AI48+AI50</f>
        <v>930042</v>
      </c>
      <c r="AJ60" s="1838"/>
      <c r="AK60" s="1838"/>
      <c r="AL60" s="1838"/>
      <c r="AM60" s="1839"/>
      <c r="AN60" s="218"/>
      <c r="AO60" s="218"/>
      <c r="AY60" s="260"/>
    </row>
    <row r="61" spans="1:51" s="274" customFormat="1" ht="10.5" customHeight="1">
      <c r="A61" s="209"/>
      <c r="B61" s="268"/>
      <c r="C61" s="272"/>
      <c r="D61" s="218"/>
      <c r="E61" s="218"/>
      <c r="F61" s="218"/>
      <c r="G61" s="218"/>
      <c r="H61" s="218"/>
      <c r="I61" s="218"/>
      <c r="J61" s="218"/>
      <c r="K61" s="218"/>
      <c r="L61" s="218"/>
      <c r="M61" s="218"/>
      <c r="N61" s="218"/>
      <c r="O61" s="218"/>
      <c r="P61" s="218"/>
      <c r="Q61" s="218"/>
      <c r="R61" s="218"/>
      <c r="S61" s="218"/>
      <c r="T61" s="218"/>
      <c r="U61" s="218"/>
      <c r="V61" s="325"/>
      <c r="W61" s="355"/>
      <c r="X61" s="355"/>
      <c r="Y61" s="355"/>
      <c r="Z61" s="355"/>
      <c r="AA61" s="355"/>
      <c r="AB61" s="325"/>
      <c r="AC61" s="325"/>
      <c r="AD61" s="325"/>
      <c r="AE61" s="325"/>
      <c r="AF61" s="325"/>
      <c r="AG61" s="325"/>
      <c r="AH61" s="325"/>
      <c r="AI61" s="325"/>
      <c r="AJ61" s="325"/>
      <c r="AK61" s="325"/>
      <c r="AL61" s="325"/>
      <c r="AM61" s="325"/>
      <c r="AN61" s="218"/>
      <c r="AO61" s="218"/>
      <c r="AP61" s="2050"/>
      <c r="AQ61" s="2050"/>
      <c r="AR61" s="2050"/>
      <c r="AS61" s="263"/>
      <c r="AT61" s="263"/>
      <c r="AU61" s="263"/>
      <c r="AV61" s="263"/>
      <c r="AW61" s="263"/>
      <c r="AX61" s="263"/>
      <c r="AY61" s="263"/>
    </row>
    <row r="62" spans="1:51" ht="16.5" customHeight="1">
      <c r="C62" s="341">
        <v>2</v>
      </c>
      <c r="D62" s="277" t="s">
        <v>638</v>
      </c>
      <c r="E62" s="296"/>
      <c r="F62" s="296"/>
      <c r="G62" s="296"/>
      <c r="H62" s="296"/>
      <c r="I62" s="296"/>
      <c r="J62" s="296" t="s">
        <v>294</v>
      </c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296"/>
      <c r="Y62" s="296"/>
      <c r="Z62" s="296"/>
      <c r="AA62" s="296"/>
      <c r="AB62" s="296"/>
      <c r="AD62" s="296"/>
      <c r="AE62" s="296"/>
      <c r="AF62" s="474">
        <v>0</v>
      </c>
      <c r="AG62" s="275"/>
      <c r="AH62" s="325" t="s">
        <v>234</v>
      </c>
      <c r="AI62" s="1942">
        <f>ROUND(AI60,-1)</f>
        <v>930040</v>
      </c>
      <c r="AJ62" s="1943"/>
      <c r="AK62" s="1943"/>
      <c r="AL62" s="1943"/>
      <c r="AM62" s="1944"/>
      <c r="AN62" s="218"/>
      <c r="AO62" s="218"/>
    </row>
    <row r="63" spans="1:51" s="283" customFormat="1" ht="18.75">
      <c r="A63" s="280"/>
      <c r="C63" s="341">
        <v>3</v>
      </c>
      <c r="D63" s="296" t="s">
        <v>410</v>
      </c>
      <c r="E63" s="297"/>
      <c r="F63" s="297"/>
      <c r="G63" s="297"/>
      <c r="H63" s="297"/>
      <c r="I63" s="277"/>
      <c r="J63" s="277"/>
      <c r="K63" s="277"/>
      <c r="L63" s="297"/>
      <c r="M63" s="297"/>
      <c r="N63" s="297"/>
      <c r="O63" s="297"/>
      <c r="P63" s="277"/>
      <c r="Q63" s="277"/>
      <c r="R63" s="277"/>
      <c r="S63" s="297"/>
      <c r="T63" s="297"/>
      <c r="U63" s="297"/>
      <c r="V63" s="297"/>
      <c r="W63" s="278"/>
      <c r="X63" s="277"/>
      <c r="Y63" s="277"/>
      <c r="Z63" s="277"/>
      <c r="AA63" s="297"/>
      <c r="AB63" s="295"/>
      <c r="AC63" s="295"/>
      <c r="AD63" s="295"/>
      <c r="AE63" s="295"/>
      <c r="AF63" s="295"/>
      <c r="AG63" s="278"/>
      <c r="AH63" s="325" t="s">
        <v>234</v>
      </c>
      <c r="AI63" s="1840">
        <f>'Calculation (NEW)'!V32</f>
        <v>64506</v>
      </c>
      <c r="AJ63" s="1841"/>
      <c r="AK63" s="1841"/>
      <c r="AL63" s="1841"/>
      <c r="AM63" s="1842"/>
      <c r="AN63" s="285"/>
      <c r="AO63" s="282"/>
      <c r="AP63" s="2051"/>
      <c r="AQ63" s="2051"/>
      <c r="AR63" s="2051"/>
      <c r="AS63" s="282"/>
      <c r="AT63" s="282"/>
      <c r="AU63" s="282"/>
      <c r="AV63" s="282"/>
      <c r="AW63" s="282"/>
      <c r="AX63" s="282"/>
    </row>
    <row r="64" spans="1:51">
      <c r="C64" s="341"/>
      <c r="D64" s="275"/>
      <c r="E64" s="1156" t="s">
        <v>637</v>
      </c>
      <c r="F64" s="297"/>
      <c r="G64" s="297"/>
      <c r="H64" s="297"/>
      <c r="I64" s="277"/>
      <c r="J64" s="277"/>
      <c r="K64" s="277"/>
      <c r="L64" s="297"/>
      <c r="M64" s="297"/>
      <c r="N64" s="297"/>
      <c r="O64" s="297"/>
      <c r="P64" s="277"/>
      <c r="Q64" s="277"/>
      <c r="R64" s="277"/>
      <c r="S64" s="297"/>
      <c r="T64" s="297"/>
      <c r="U64" s="297"/>
      <c r="V64" s="297"/>
      <c r="W64" s="278"/>
      <c r="X64" s="277"/>
      <c r="Y64" s="277"/>
      <c r="Z64" s="277"/>
      <c r="AA64" s="297"/>
      <c r="AB64" s="295"/>
      <c r="AC64" s="295"/>
      <c r="AD64" s="295"/>
      <c r="AE64" s="295"/>
      <c r="AF64" s="295"/>
      <c r="AG64" s="278"/>
      <c r="AH64" s="325" t="s">
        <v>234</v>
      </c>
      <c r="AI64" s="1857">
        <f>'Calculation (NEW)'!V43</f>
        <v>0</v>
      </c>
      <c r="AJ64" s="1858"/>
      <c r="AK64" s="1858"/>
      <c r="AL64" s="1858"/>
      <c r="AM64" s="1859"/>
      <c r="AN64" s="218"/>
      <c r="AO64" s="218"/>
    </row>
    <row r="65" spans="3:41">
      <c r="C65" s="341">
        <v>4</v>
      </c>
      <c r="D65" s="296" t="s">
        <v>592</v>
      </c>
      <c r="E65" s="297"/>
      <c r="F65" s="297"/>
      <c r="G65" s="297"/>
      <c r="H65" s="297"/>
      <c r="I65" s="277"/>
      <c r="J65" s="277"/>
      <c r="K65" s="277"/>
      <c r="L65" s="297"/>
      <c r="M65" s="297"/>
      <c r="N65" s="297"/>
      <c r="O65" s="297"/>
      <c r="P65" s="277"/>
      <c r="Q65" s="277"/>
      <c r="R65" s="277"/>
      <c r="S65" s="297"/>
      <c r="T65" s="297"/>
      <c r="U65" s="297"/>
      <c r="V65" s="297"/>
      <c r="W65" s="278"/>
      <c r="X65" s="277"/>
      <c r="Y65" s="277"/>
      <c r="Z65" s="277"/>
      <c r="AA65" s="297"/>
      <c r="AB65" s="295"/>
      <c r="AC65" s="295"/>
      <c r="AD65" s="295"/>
      <c r="AE65" s="295"/>
      <c r="AF65" s="295"/>
      <c r="AG65" s="278"/>
      <c r="AH65" s="325" t="s">
        <v>234</v>
      </c>
      <c r="AI65" s="1951">
        <f>AI63--AI64</f>
        <v>64506</v>
      </c>
      <c r="AJ65" s="1952"/>
      <c r="AK65" s="1952"/>
      <c r="AL65" s="1952"/>
      <c r="AM65" s="1953"/>
      <c r="AN65" s="218"/>
      <c r="AO65" s="218"/>
    </row>
    <row r="66" spans="3:41">
      <c r="C66" s="341"/>
      <c r="D66" s="275"/>
      <c r="E66" s="277" t="s">
        <v>597</v>
      </c>
      <c r="F66" s="297"/>
      <c r="G66" s="297"/>
      <c r="H66" s="297"/>
      <c r="I66" s="277"/>
      <c r="J66" s="277"/>
      <c r="K66" s="277"/>
      <c r="L66" s="297"/>
      <c r="M66" s="297"/>
      <c r="N66" s="297"/>
      <c r="O66" s="297"/>
      <c r="P66" s="277"/>
      <c r="Q66" s="277"/>
      <c r="R66" s="277"/>
      <c r="S66" s="297"/>
      <c r="T66" s="297"/>
      <c r="U66" s="297"/>
      <c r="V66" s="297"/>
      <c r="W66" s="278"/>
      <c r="X66" s="277"/>
      <c r="Y66" s="277"/>
      <c r="Z66" s="277"/>
      <c r="AA66" s="297"/>
      <c r="AB66" s="295"/>
      <c r="AC66" s="295"/>
      <c r="AD66" s="295"/>
      <c r="AE66" s="295"/>
      <c r="AF66" s="295"/>
      <c r="AG66" s="278"/>
      <c r="AH66" s="325" t="s">
        <v>234</v>
      </c>
      <c r="AI66" s="1954">
        <f>'Calculation (NEW)'!V45</f>
        <v>0</v>
      </c>
      <c r="AJ66" s="1955"/>
      <c r="AK66" s="1955"/>
      <c r="AL66" s="1955"/>
      <c r="AM66" s="1956"/>
      <c r="AN66" s="218"/>
      <c r="AO66" s="218"/>
    </row>
    <row r="67" spans="3:41">
      <c r="C67" s="341"/>
      <c r="D67" s="275"/>
      <c r="E67" s="277" t="s">
        <v>508</v>
      </c>
      <c r="F67" s="297"/>
      <c r="G67" s="297"/>
      <c r="H67" s="297"/>
      <c r="I67" s="277"/>
      <c r="J67" s="277"/>
      <c r="K67" s="277"/>
      <c r="L67" s="297"/>
      <c r="M67" s="297"/>
      <c r="N67" s="297"/>
      <c r="O67" s="297"/>
      <c r="P67" s="277"/>
      <c r="Q67" s="277"/>
      <c r="R67" s="277"/>
      <c r="S67" s="297"/>
      <c r="T67" s="297"/>
      <c r="U67" s="297"/>
      <c r="V67" s="297"/>
      <c r="W67" s="278"/>
      <c r="X67" s="277"/>
      <c r="Y67" s="277"/>
      <c r="Z67" s="277"/>
      <c r="AA67" s="297"/>
      <c r="AB67" s="295"/>
      <c r="AC67" s="295"/>
      <c r="AD67" s="295"/>
      <c r="AE67" s="295"/>
      <c r="AF67" s="295"/>
      <c r="AG67" s="278"/>
      <c r="AH67" s="325" t="s">
        <v>234</v>
      </c>
      <c r="AI67" s="1954">
        <f>'Calculation (NEW)'!V46</f>
        <v>2580</v>
      </c>
      <c r="AJ67" s="1955"/>
      <c r="AK67" s="1955"/>
      <c r="AL67" s="1955"/>
      <c r="AM67" s="1956"/>
      <c r="AN67" s="218"/>
      <c r="AO67" s="218"/>
    </row>
    <row r="68" spans="3:41">
      <c r="C68" s="341">
        <v>5</v>
      </c>
      <c r="D68" s="296" t="s">
        <v>621</v>
      </c>
      <c r="E68" s="297"/>
      <c r="F68" s="297"/>
      <c r="G68" s="297"/>
      <c r="H68" s="297"/>
      <c r="I68" s="277"/>
      <c r="J68" s="277"/>
      <c r="K68" s="277"/>
      <c r="L68" s="297"/>
      <c r="M68" s="297"/>
      <c r="N68" s="297"/>
      <c r="O68" s="297"/>
      <c r="P68" s="277"/>
      <c r="Q68" s="277"/>
      <c r="R68" s="277"/>
      <c r="S68" s="297"/>
      <c r="T68" s="297"/>
      <c r="U68" s="297"/>
      <c r="V68" s="297"/>
      <c r="W68" s="278"/>
      <c r="X68" s="277"/>
      <c r="Y68" s="277"/>
      <c r="Z68" s="277"/>
      <c r="AA68" s="297"/>
      <c r="AB68" s="295"/>
      <c r="AC68" s="295"/>
      <c r="AD68" s="295"/>
      <c r="AE68" s="295"/>
      <c r="AF68" s="295"/>
      <c r="AG68" s="278"/>
      <c r="AH68" s="325" t="s">
        <v>234</v>
      </c>
      <c r="AI68" s="1951">
        <f>AI65+AI66+AI67</f>
        <v>67086</v>
      </c>
      <c r="AJ68" s="1952"/>
      <c r="AK68" s="1952"/>
      <c r="AL68" s="1952"/>
      <c r="AM68" s="1953"/>
      <c r="AN68" s="218"/>
      <c r="AO68" s="218"/>
    </row>
    <row r="69" spans="3:41">
      <c r="C69" s="341"/>
      <c r="D69" s="296"/>
      <c r="E69" s="277" t="s">
        <v>206</v>
      </c>
      <c r="F69" s="297"/>
      <c r="G69" s="297"/>
      <c r="H69" s="297"/>
      <c r="I69" s="277"/>
      <c r="J69" s="277"/>
      <c r="K69" s="277"/>
      <c r="L69" s="297"/>
      <c r="M69" s="297"/>
      <c r="N69" s="297"/>
      <c r="O69" s="297"/>
      <c r="P69" s="277"/>
      <c r="Q69" s="277"/>
      <c r="R69" s="277"/>
      <c r="S69" s="297"/>
      <c r="T69" s="297"/>
      <c r="U69" s="297"/>
      <c r="V69" s="297"/>
      <c r="W69" s="278"/>
      <c r="X69" s="277"/>
      <c r="Y69" s="277"/>
      <c r="Z69" s="277"/>
      <c r="AA69" s="297"/>
      <c r="AB69" s="295"/>
      <c r="AC69" s="295"/>
      <c r="AD69" s="295"/>
      <c r="AE69" s="295"/>
      <c r="AF69" s="295"/>
      <c r="AG69" s="278"/>
      <c r="AH69" s="325" t="s">
        <v>234</v>
      </c>
      <c r="AI69" s="1951">
        <f>'Calculation (NEW)'!V48</f>
        <v>18189</v>
      </c>
      <c r="AJ69" s="1952"/>
      <c r="AK69" s="1952"/>
      <c r="AL69" s="1952"/>
      <c r="AM69" s="1953"/>
      <c r="AN69" s="218"/>
      <c r="AO69" s="218"/>
    </row>
    <row r="70" spans="3:41">
      <c r="C70" s="341">
        <v>6</v>
      </c>
      <c r="D70" s="275" t="s">
        <v>635</v>
      </c>
      <c r="E70" s="297"/>
      <c r="F70" s="297"/>
      <c r="G70" s="297"/>
      <c r="H70" s="297"/>
      <c r="I70" s="277"/>
      <c r="J70" s="277"/>
      <c r="K70" s="277"/>
      <c r="L70" s="297"/>
      <c r="M70" s="297"/>
      <c r="N70" s="297"/>
      <c r="O70" s="297"/>
      <c r="P70" s="277"/>
      <c r="Q70" s="277"/>
      <c r="R70" s="277"/>
      <c r="S70" s="297"/>
      <c r="T70" s="297"/>
      <c r="U70" s="297"/>
      <c r="V70" s="297"/>
      <c r="W70" s="278"/>
      <c r="X70" s="277"/>
      <c r="Y70" s="277"/>
      <c r="Z70" s="277"/>
      <c r="AA70" s="297"/>
      <c r="AB70" s="295"/>
      <c r="AC70" s="295"/>
      <c r="AD70" s="295"/>
      <c r="AE70" s="295"/>
      <c r="AF70" s="295"/>
      <c r="AG70" s="278"/>
      <c r="AH70" s="325" t="s">
        <v>234</v>
      </c>
      <c r="AI70" s="1951">
        <f>'Calculation (NEW)'!V49</f>
        <v>48897</v>
      </c>
      <c r="AJ70" s="1952"/>
      <c r="AK70" s="1952"/>
      <c r="AL70" s="1952"/>
      <c r="AM70" s="1953"/>
      <c r="AN70" s="218"/>
      <c r="AO70" s="218"/>
    </row>
    <row r="71" spans="3:41">
      <c r="C71" s="341">
        <v>7</v>
      </c>
      <c r="D71" s="296" t="s">
        <v>583</v>
      </c>
      <c r="E71" s="297"/>
      <c r="F71" s="297"/>
      <c r="G71" s="297"/>
      <c r="H71" s="297"/>
      <c r="I71" s="277"/>
      <c r="J71" s="277"/>
      <c r="K71" s="277"/>
      <c r="L71" s="297"/>
      <c r="M71" s="297"/>
      <c r="N71" s="297"/>
      <c r="O71" s="297"/>
      <c r="P71" s="277"/>
      <c r="Q71" s="277"/>
      <c r="R71" s="277"/>
      <c r="S71" s="297"/>
      <c r="T71" s="297"/>
      <c r="U71" s="297"/>
      <c r="V71" s="297"/>
      <c r="W71" s="278"/>
      <c r="X71" s="277"/>
      <c r="Y71" s="277"/>
      <c r="Z71" s="277"/>
      <c r="AA71" s="297"/>
      <c r="AB71" s="295"/>
      <c r="AC71" s="295"/>
      <c r="AD71" s="295"/>
      <c r="AE71" s="295"/>
      <c r="AF71" s="295"/>
      <c r="AG71" s="278"/>
      <c r="AH71" s="325" t="s">
        <v>234</v>
      </c>
      <c r="AI71" s="1951">
        <f>'Calculation (NEW)'!V53</f>
        <v>33000</v>
      </c>
      <c r="AJ71" s="1952"/>
      <c r="AK71" s="1952"/>
      <c r="AL71" s="1952"/>
      <c r="AM71" s="1953"/>
      <c r="AN71" s="218"/>
      <c r="AO71" s="218"/>
    </row>
    <row r="72" spans="3:41">
      <c r="C72" s="341">
        <v>8</v>
      </c>
      <c r="D72" s="296" t="s">
        <v>579</v>
      </c>
      <c r="E72" s="297"/>
      <c r="F72" s="297"/>
      <c r="G72" s="297"/>
      <c r="H72" s="297"/>
      <c r="I72" s="277"/>
      <c r="J72" s="277"/>
      <c r="K72" s="277"/>
      <c r="L72" s="297"/>
      <c r="M72" s="297"/>
      <c r="N72" s="297"/>
      <c r="O72" s="297"/>
      <c r="P72" s="277"/>
      <c r="Q72" s="277"/>
      <c r="R72" s="277"/>
      <c r="S72" s="297"/>
      <c r="T72" s="297"/>
      <c r="U72" s="297"/>
      <c r="V72" s="297"/>
      <c r="W72" s="278"/>
      <c r="X72" s="277"/>
      <c r="Y72" s="277"/>
      <c r="Z72" s="277"/>
      <c r="AA72" s="297"/>
      <c r="AB72" s="295"/>
      <c r="AC72" s="295"/>
      <c r="AD72" s="295"/>
      <c r="AE72" s="295"/>
      <c r="AF72" s="295"/>
      <c r="AG72" s="278"/>
      <c r="AH72" s="325" t="s">
        <v>234</v>
      </c>
      <c r="AI72" s="1951">
        <f>'Calculation (NEW)'!V54</f>
        <v>0</v>
      </c>
      <c r="AJ72" s="1952"/>
      <c r="AK72" s="1952"/>
      <c r="AL72" s="1952"/>
      <c r="AM72" s="1953"/>
      <c r="AN72" s="279"/>
      <c r="AO72" s="279"/>
    </row>
    <row r="73" spans="3:41">
      <c r="C73" s="341">
        <v>9</v>
      </c>
      <c r="D73" s="277" t="s">
        <v>584</v>
      </c>
      <c r="E73" s="297"/>
      <c r="F73" s="297"/>
      <c r="G73" s="297"/>
      <c r="H73" s="297"/>
      <c r="I73" s="277"/>
      <c r="J73" s="277"/>
      <c r="K73" s="277"/>
      <c r="L73" s="297"/>
      <c r="M73" s="297"/>
      <c r="N73" s="297"/>
      <c r="O73" s="297"/>
      <c r="P73" s="277"/>
      <c r="Q73" s="277"/>
      <c r="R73" s="277"/>
      <c r="S73" s="297"/>
      <c r="T73" s="297"/>
      <c r="U73" s="297"/>
      <c r="V73" s="297"/>
      <c r="W73" s="278"/>
      <c r="X73" s="277"/>
      <c r="Y73" s="277"/>
      <c r="Z73" s="277"/>
      <c r="AA73" s="297"/>
      <c r="AB73" s="295"/>
      <c r="AC73" s="295"/>
      <c r="AD73" s="295"/>
      <c r="AE73" s="295"/>
      <c r="AF73" s="295"/>
      <c r="AG73" s="278"/>
      <c r="AH73" s="325" t="s">
        <v>234</v>
      </c>
      <c r="AI73" s="1954">
        <f>'Calculation (NEW)'!V55</f>
        <v>48897</v>
      </c>
      <c r="AJ73" s="1955"/>
      <c r="AK73" s="1955"/>
      <c r="AL73" s="1955"/>
      <c r="AM73" s="1956"/>
      <c r="AN73" s="279"/>
      <c r="AO73" s="279"/>
    </row>
    <row r="74" spans="3:41">
      <c r="C74" s="341"/>
      <c r="D74" s="1213" t="s">
        <v>642</v>
      </c>
      <c r="E74" s="297"/>
      <c r="F74" s="297"/>
      <c r="G74" s="297"/>
      <c r="H74" s="297"/>
      <c r="I74" s="277"/>
      <c r="J74" s="277"/>
      <c r="K74" s="277"/>
      <c r="L74" s="297"/>
      <c r="M74" s="297"/>
      <c r="N74" s="297"/>
      <c r="O74" s="297"/>
      <c r="P74" s="277"/>
      <c r="Q74" s="277"/>
      <c r="R74" s="277"/>
      <c r="S74" s="297"/>
      <c r="T74" s="297"/>
      <c r="U74" s="297"/>
      <c r="V74" s="297"/>
      <c r="W74" s="278"/>
      <c r="X74" s="277"/>
      <c r="Y74" s="277"/>
      <c r="Z74" s="277"/>
      <c r="AA74" s="297"/>
      <c r="AB74" s="295"/>
      <c r="AC74" s="295"/>
      <c r="AD74" s="295"/>
      <c r="AE74" s="295"/>
      <c r="AF74" s="295"/>
      <c r="AG74" s="278"/>
      <c r="AH74" s="325" t="s">
        <v>234</v>
      </c>
      <c r="AI74" s="1951">
        <f>'Calculation (NEW)'!V56</f>
        <v>15897</v>
      </c>
      <c r="AJ74" s="1952"/>
      <c r="AK74" s="1952"/>
      <c r="AL74" s="1952"/>
      <c r="AM74" s="1953"/>
      <c r="AN74" s="279"/>
      <c r="AO74" s="279"/>
    </row>
    <row r="75" spans="3:41">
      <c r="C75" s="341">
        <v>10</v>
      </c>
      <c r="D75" s="277" t="s">
        <v>620</v>
      </c>
      <c r="E75" s="297"/>
      <c r="F75" s="297"/>
      <c r="G75" s="297"/>
      <c r="H75" s="297"/>
      <c r="I75" s="277"/>
      <c r="J75" s="277"/>
      <c r="K75" s="277"/>
      <c r="L75" s="297"/>
      <c r="M75" s="297"/>
      <c r="N75" s="297"/>
      <c r="O75" s="297"/>
      <c r="P75" s="277"/>
      <c r="Q75" s="277"/>
      <c r="R75" s="277"/>
      <c r="S75" s="297"/>
      <c r="T75" s="297"/>
      <c r="U75" s="297"/>
      <c r="V75" s="297"/>
      <c r="W75" s="278"/>
      <c r="X75" s="277"/>
      <c r="Y75" s="277"/>
      <c r="Z75" s="277"/>
      <c r="AA75" s="297"/>
      <c r="AB75" s="295"/>
      <c r="AC75" s="295"/>
      <c r="AD75" s="295"/>
      <c r="AE75" s="295"/>
      <c r="AF75" s="295"/>
      <c r="AG75" s="278"/>
      <c r="AH75" s="325" t="s">
        <v>234</v>
      </c>
      <c r="AI75" s="1954">
        <f>'Calculation (NEW)'!V57</f>
        <v>0</v>
      </c>
      <c r="AJ75" s="1955"/>
      <c r="AK75" s="1955"/>
      <c r="AL75" s="1955"/>
      <c r="AM75" s="1956"/>
      <c r="AN75" s="279"/>
      <c r="AO75" s="279"/>
    </row>
    <row r="76" spans="3:41">
      <c r="C76" s="341">
        <v>11</v>
      </c>
      <c r="D76" s="296" t="s">
        <v>639</v>
      </c>
      <c r="E76" s="297"/>
      <c r="F76" s="297"/>
      <c r="G76" s="297"/>
      <c r="H76" s="297"/>
      <c r="I76" s="277"/>
      <c r="J76" s="277"/>
      <c r="K76" s="277"/>
      <c r="L76" s="297"/>
      <c r="M76" s="297"/>
      <c r="N76" s="297"/>
      <c r="O76" s="297"/>
      <c r="P76" s="277"/>
      <c r="Q76" s="277"/>
      <c r="R76" s="277"/>
      <c r="S76" s="297"/>
      <c r="T76" s="297"/>
      <c r="U76" s="297"/>
      <c r="V76" s="297"/>
      <c r="W76" s="278"/>
      <c r="X76" s="277"/>
      <c r="Y76" s="2006" t="str">
        <f>'Calculation (NEW)'!R59</f>
        <v>Payble</v>
      </c>
      <c r="Z76" s="2006"/>
      <c r="AA76" s="2006"/>
      <c r="AB76" s="2006"/>
      <c r="AC76" s="295"/>
      <c r="AD76" s="295"/>
      <c r="AE76" s="295"/>
      <c r="AF76" s="295"/>
      <c r="AG76" s="278"/>
      <c r="AH76" s="325" t="s">
        <v>234</v>
      </c>
      <c r="AI76" s="1951">
        <f>'Calculation (NEW)'!V59</f>
        <v>15900</v>
      </c>
      <c r="AJ76" s="1952"/>
      <c r="AK76" s="1952"/>
      <c r="AL76" s="1952"/>
      <c r="AM76" s="1953"/>
      <c r="AN76" s="279"/>
      <c r="AO76" s="279"/>
    </row>
    <row r="77" spans="3:41">
      <c r="AB77" s="279"/>
      <c r="AC77" s="279"/>
      <c r="AD77" s="279"/>
      <c r="AE77" s="279"/>
      <c r="AF77" s="279"/>
      <c r="AG77" s="279"/>
      <c r="AH77" s="279"/>
      <c r="AI77" s="279"/>
      <c r="AJ77" s="279"/>
      <c r="AK77" s="279"/>
      <c r="AL77" s="279"/>
      <c r="AM77" s="279"/>
      <c r="AN77" s="279"/>
      <c r="AO77" s="279"/>
    </row>
    <row r="78" spans="3:41">
      <c r="C78" s="342"/>
      <c r="D78" s="342"/>
      <c r="E78" s="342"/>
      <c r="F78" s="342"/>
      <c r="G78" s="342"/>
      <c r="H78" s="342"/>
      <c r="I78" s="342"/>
      <c r="J78" s="342"/>
      <c r="K78" s="342"/>
      <c r="L78" s="342"/>
      <c r="M78" s="342"/>
      <c r="N78" s="342"/>
      <c r="O78" s="342"/>
      <c r="P78" s="342"/>
      <c r="Q78" s="342"/>
      <c r="R78" s="342"/>
      <c r="S78" s="342"/>
      <c r="T78" s="342"/>
      <c r="U78" s="342"/>
      <c r="V78" s="342"/>
      <c r="W78" s="344" t="s">
        <v>248</v>
      </c>
      <c r="X78" s="342"/>
      <c r="Y78" s="342"/>
      <c r="Z78" s="342"/>
      <c r="AA78" s="342"/>
      <c r="AB78" s="342"/>
      <c r="AC78" s="342"/>
      <c r="AD78" s="342"/>
      <c r="AE78" s="342"/>
      <c r="AF78" s="342"/>
      <c r="AG78" s="342"/>
      <c r="AH78" s="342"/>
      <c r="AI78" s="342"/>
      <c r="AJ78" s="342"/>
      <c r="AK78" s="342"/>
      <c r="AL78" s="342"/>
      <c r="AM78" s="342"/>
      <c r="AN78" s="342"/>
      <c r="AO78" s="279"/>
    </row>
    <row r="79" spans="3:41">
      <c r="C79" s="291"/>
      <c r="D79" s="291"/>
      <c r="E79" s="291"/>
      <c r="F79" s="291"/>
      <c r="G79" s="291"/>
      <c r="H79" s="301"/>
      <c r="I79" s="291"/>
      <c r="J79" s="291"/>
      <c r="K79" s="291"/>
      <c r="L79" s="301"/>
      <c r="M79" s="301"/>
      <c r="N79" s="291"/>
      <c r="O79" s="291"/>
      <c r="P79" s="291"/>
      <c r="Q79" s="291"/>
      <c r="R79" s="291"/>
      <c r="S79" s="291"/>
      <c r="T79" s="291"/>
      <c r="U79" s="291"/>
      <c r="V79" s="291"/>
      <c r="W79" s="291"/>
      <c r="X79" s="291"/>
      <c r="Y79" s="291"/>
      <c r="Z79" s="291"/>
      <c r="AA79" s="301"/>
      <c r="AB79" s="301"/>
      <c r="AC79" s="291"/>
      <c r="AD79" s="291"/>
      <c r="AE79" s="291"/>
      <c r="AF79" s="291"/>
      <c r="AG79" s="291"/>
      <c r="AH79" s="291"/>
      <c r="AI79" s="301"/>
      <c r="AJ79" s="301"/>
      <c r="AK79" s="291"/>
      <c r="AL79" s="291"/>
      <c r="AM79" s="291"/>
      <c r="AN79" s="291"/>
      <c r="AO79" s="279"/>
    </row>
    <row r="80" spans="3:41">
      <c r="C80" s="278" t="s">
        <v>86</v>
      </c>
      <c r="D80" s="2026" t="str">
        <f>UPPER('Master Deails'!H27)</f>
        <v>RATILAL BALUBHAI CHOUDHARI</v>
      </c>
      <c r="E80" s="2026"/>
      <c r="F80" s="2026"/>
      <c r="G80" s="2026"/>
      <c r="H80" s="2026"/>
      <c r="I80" s="2026"/>
      <c r="J80" s="2026"/>
      <c r="K80" s="2026"/>
      <c r="L80" s="2026"/>
      <c r="M80" s="2026"/>
      <c r="N80" s="2026"/>
      <c r="O80" s="2026"/>
      <c r="P80" s="2026"/>
      <c r="Q80" s="2026"/>
      <c r="R80" s="2026"/>
      <c r="S80" s="2026"/>
      <c r="T80" s="2026"/>
      <c r="U80" s="2026"/>
      <c r="V80" s="2027"/>
      <c r="W80" s="2027"/>
      <c r="X80" s="2027"/>
      <c r="Y80" s="2027"/>
      <c r="Z80" s="1125" t="s">
        <v>249</v>
      </c>
      <c r="AA80" s="2028" t="str">
        <f>UPPER('Master Deails'!H28)</f>
        <v>BALUBHAI CHOUDHARI</v>
      </c>
      <c r="AB80" s="2028"/>
      <c r="AC80" s="2028"/>
      <c r="AD80" s="2028"/>
      <c r="AE80" s="2028"/>
      <c r="AF80" s="2028"/>
      <c r="AG80" s="2028"/>
      <c r="AH80" s="2028"/>
      <c r="AI80" s="2028"/>
      <c r="AJ80" s="2028"/>
      <c r="AK80" s="2028"/>
      <c r="AL80" s="2028"/>
      <c r="AM80" s="2028"/>
      <c r="AN80" s="2028"/>
      <c r="AO80" s="279"/>
    </row>
    <row r="81" spans="3:41">
      <c r="C81" s="1126" t="s">
        <v>250</v>
      </c>
      <c r="D81" s="1126"/>
      <c r="E81" s="1126"/>
      <c r="F81" s="1126"/>
      <c r="G81" s="1126"/>
      <c r="H81" s="1127"/>
      <c r="I81" s="1126"/>
      <c r="J81" s="1126"/>
      <c r="K81" s="1126"/>
      <c r="L81" s="1127"/>
      <c r="M81" s="2025" t="s">
        <v>471</v>
      </c>
      <c r="N81" s="2025"/>
      <c r="O81" s="2025"/>
      <c r="P81" s="2025"/>
      <c r="Q81" s="2025"/>
      <c r="R81" s="2025"/>
      <c r="S81" s="2025"/>
      <c r="T81" s="2025"/>
      <c r="U81" s="2025"/>
      <c r="V81" s="2025"/>
      <c r="W81" s="843" t="s">
        <v>599</v>
      </c>
      <c r="X81" s="843"/>
      <c r="Y81" s="843"/>
      <c r="Z81" s="843"/>
      <c r="AA81" s="1128"/>
      <c r="AB81" s="1128"/>
      <c r="AC81" s="843"/>
      <c r="AD81" s="843"/>
      <c r="AE81" s="843"/>
      <c r="AF81" s="843"/>
      <c r="AG81" s="843"/>
      <c r="AH81" s="843"/>
      <c r="AI81" s="1128"/>
      <c r="AJ81" s="1128"/>
      <c r="AK81" s="843"/>
      <c r="AL81" s="843"/>
      <c r="AM81" s="843"/>
      <c r="AN81" s="843"/>
      <c r="AO81" s="279"/>
    </row>
    <row r="82" spans="3:41">
      <c r="C82" s="1129" t="s">
        <v>69</v>
      </c>
      <c r="D82" s="2004">
        <f>AI71+AI75</f>
        <v>33000</v>
      </c>
      <c r="E82" s="2004"/>
      <c r="F82" s="2004"/>
      <c r="G82" s="2005"/>
      <c r="H82" s="2005"/>
      <c r="I82" s="2005"/>
      <c r="J82" s="2005"/>
      <c r="K82" s="2005"/>
      <c r="L82" s="2005"/>
      <c r="M82" s="2005"/>
      <c r="N82" s="2005"/>
      <c r="O82" s="2005"/>
      <c r="P82" s="2005"/>
      <c r="Q82" s="2005"/>
      <c r="R82" s="2005"/>
      <c r="S82" s="2005"/>
      <c r="T82" s="2005"/>
      <c r="U82" s="2005"/>
      <c r="V82" s="2005"/>
      <c r="W82" s="2005"/>
      <c r="X82" s="2005"/>
      <c r="Y82" s="2005"/>
      <c r="Z82" s="2005"/>
      <c r="AA82" s="2005"/>
      <c r="AB82" s="345" t="s">
        <v>251</v>
      </c>
      <c r="AC82" s="345"/>
      <c r="AD82" s="345"/>
      <c r="AE82" s="345"/>
      <c r="AF82" s="345"/>
      <c r="AG82" s="345"/>
      <c r="AH82" s="345"/>
      <c r="AI82" s="1125"/>
      <c r="AJ82" s="1125"/>
      <c r="AK82" s="345"/>
      <c r="AL82" s="345"/>
      <c r="AM82" s="345"/>
      <c r="AN82" s="345"/>
      <c r="AO82" s="279"/>
    </row>
    <row r="83" spans="3:41">
      <c r="C83" s="345" t="s">
        <v>252</v>
      </c>
      <c r="D83" s="345"/>
      <c r="E83" s="345"/>
      <c r="F83" s="345"/>
      <c r="G83" s="345"/>
      <c r="H83" s="345"/>
      <c r="I83" s="345"/>
      <c r="J83" s="345"/>
      <c r="K83" s="345"/>
      <c r="L83" s="345"/>
      <c r="M83" s="345"/>
      <c r="N83" s="345"/>
      <c r="O83" s="345"/>
      <c r="P83" s="345"/>
      <c r="Q83" s="345"/>
      <c r="R83" s="345"/>
      <c r="S83" s="345"/>
      <c r="T83" s="345"/>
      <c r="U83" s="345"/>
      <c r="V83" s="345"/>
      <c r="W83" s="345"/>
      <c r="X83" s="345"/>
      <c r="Y83" s="345"/>
      <c r="Z83" s="345"/>
      <c r="AA83" s="1125"/>
      <c r="AB83" s="1125"/>
      <c r="AC83" s="345"/>
      <c r="AD83" s="345"/>
      <c r="AE83" s="345"/>
      <c r="AF83" s="345"/>
      <c r="AG83" s="345"/>
      <c r="AH83" s="345"/>
      <c r="AI83" s="1125"/>
      <c r="AJ83" s="1125"/>
      <c r="AK83" s="345"/>
      <c r="AL83" s="345"/>
      <c r="AM83" s="345"/>
      <c r="AN83" s="345"/>
      <c r="AO83" s="279"/>
    </row>
    <row r="84" spans="3:41">
      <c r="C84" s="345" t="s">
        <v>253</v>
      </c>
      <c r="D84" s="345"/>
      <c r="E84" s="345"/>
      <c r="F84" s="345"/>
      <c r="G84" s="345"/>
      <c r="H84" s="345"/>
      <c r="I84" s="345"/>
      <c r="J84" s="345"/>
      <c r="K84" s="345"/>
      <c r="L84" s="345"/>
      <c r="M84" s="345"/>
      <c r="N84" s="345"/>
      <c r="O84" s="345"/>
      <c r="P84" s="345"/>
      <c r="Q84" s="345"/>
      <c r="R84" s="345"/>
      <c r="S84" s="345"/>
      <c r="T84" s="345"/>
      <c r="U84" s="345"/>
      <c r="V84" s="345"/>
      <c r="W84" s="345"/>
      <c r="X84" s="345"/>
      <c r="Y84" s="345"/>
      <c r="Z84" s="345"/>
      <c r="AA84" s="1125"/>
      <c r="AB84" s="1125"/>
      <c r="AC84" s="345"/>
      <c r="AD84" s="345"/>
      <c r="AE84" s="345"/>
      <c r="AF84" s="345"/>
      <c r="AG84" s="345"/>
      <c r="AH84" s="345"/>
      <c r="AI84" s="1125"/>
      <c r="AJ84" s="1125"/>
      <c r="AK84" s="345"/>
      <c r="AL84" s="345"/>
      <c r="AM84" s="345"/>
      <c r="AN84" s="345"/>
      <c r="AO84" s="279"/>
    </row>
    <row r="85" spans="3:41">
      <c r="C85" s="345"/>
      <c r="D85" s="345"/>
      <c r="E85" s="345"/>
      <c r="F85" s="345"/>
      <c r="G85" s="345"/>
      <c r="H85" s="345"/>
      <c r="I85" s="345"/>
      <c r="J85" s="345"/>
      <c r="K85" s="345"/>
      <c r="L85" s="345"/>
      <c r="M85" s="345"/>
      <c r="N85" s="345"/>
      <c r="O85" s="345"/>
      <c r="P85" s="345"/>
      <c r="Q85" s="345"/>
      <c r="R85" s="345"/>
      <c r="S85" s="345"/>
      <c r="T85" s="345"/>
      <c r="U85" s="345"/>
      <c r="V85" s="345"/>
      <c r="W85" s="345"/>
      <c r="X85" s="345"/>
      <c r="Y85" s="345"/>
      <c r="Z85" s="345"/>
      <c r="AA85" s="1125"/>
      <c r="AB85" s="1125"/>
      <c r="AC85" s="345"/>
      <c r="AD85" s="345"/>
      <c r="AE85" s="345"/>
      <c r="AF85" s="345"/>
      <c r="AG85" s="345"/>
      <c r="AH85" s="345"/>
      <c r="AI85" s="1125"/>
      <c r="AJ85" s="1125"/>
      <c r="AK85" s="345"/>
      <c r="AL85" s="345"/>
      <c r="AM85" s="345"/>
      <c r="AN85" s="345"/>
      <c r="AO85" s="279"/>
    </row>
    <row r="86" spans="3:41">
      <c r="C86" s="278" t="s">
        <v>64</v>
      </c>
      <c r="D86" s="277"/>
      <c r="E86" s="277"/>
      <c r="F86" s="1959" t="str">
        <f>Z93</f>
        <v>Ahwa</v>
      </c>
      <c r="G86" s="1959"/>
      <c r="H86" s="1959"/>
      <c r="I86" s="1959"/>
      <c r="J86" s="1959"/>
      <c r="K86" s="1959"/>
      <c r="L86" s="1959"/>
      <c r="M86" s="1959"/>
      <c r="N86" s="277"/>
      <c r="O86" s="277"/>
      <c r="P86" s="277"/>
      <c r="Q86" s="277"/>
      <c r="R86" s="277"/>
      <c r="S86" s="277"/>
      <c r="T86" s="277"/>
      <c r="U86" s="277"/>
      <c r="V86" s="277"/>
      <c r="W86" s="277"/>
      <c r="X86" s="277"/>
      <c r="Y86" s="277"/>
      <c r="Z86" s="277"/>
      <c r="AA86" s="297"/>
      <c r="AB86" s="297"/>
      <c r="AC86" s="277"/>
      <c r="AD86" s="277"/>
      <c r="AE86" s="277"/>
      <c r="AF86" s="277"/>
      <c r="AG86" s="277"/>
      <c r="AH86" s="277"/>
      <c r="AI86" s="297"/>
      <c r="AJ86" s="297"/>
      <c r="AK86" s="277"/>
      <c r="AL86" s="277"/>
      <c r="AM86" s="277"/>
      <c r="AN86" s="277"/>
      <c r="AO86" s="279"/>
    </row>
    <row r="87" spans="3:41">
      <c r="C87" s="278"/>
      <c r="D87" s="277"/>
      <c r="E87" s="277"/>
      <c r="F87" s="277"/>
      <c r="G87" s="277"/>
      <c r="H87" s="277"/>
      <c r="I87" s="277"/>
      <c r="J87" s="277"/>
      <c r="K87" s="277"/>
      <c r="L87" s="277"/>
      <c r="M87" s="277"/>
      <c r="N87" s="277"/>
      <c r="O87" s="277"/>
      <c r="P87" s="277"/>
      <c r="Q87" s="277"/>
      <c r="R87" s="277"/>
      <c r="S87" s="277"/>
      <c r="T87" s="277"/>
      <c r="U87" s="291"/>
      <c r="V87" s="291"/>
      <c r="W87" s="291"/>
      <c r="X87" s="291"/>
      <c r="Y87" s="291"/>
      <c r="Z87" s="291"/>
      <c r="AA87" s="301"/>
      <c r="AB87" s="301"/>
      <c r="AC87" s="291"/>
      <c r="AD87" s="291"/>
      <c r="AE87" s="291"/>
      <c r="AF87" s="301" t="s">
        <v>254</v>
      </c>
      <c r="AG87" s="291"/>
      <c r="AH87" s="291"/>
      <c r="AI87" s="301"/>
      <c r="AJ87" s="301"/>
      <c r="AK87" s="291"/>
      <c r="AL87" s="291"/>
      <c r="AM87" s="277"/>
      <c r="AN87" s="277"/>
      <c r="AO87" s="279"/>
    </row>
    <row r="88" spans="3:41" ht="15.75">
      <c r="C88" s="278" t="s">
        <v>65</v>
      </c>
      <c r="D88" s="277"/>
      <c r="E88" s="277"/>
      <c r="F88" s="1958">
        <f ca="1">TODAY()</f>
        <v>44729</v>
      </c>
      <c r="G88" s="1958"/>
      <c r="H88" s="1958"/>
      <c r="I88" s="1958"/>
      <c r="J88" s="1958"/>
      <c r="K88" s="1958"/>
      <c r="L88" s="1958"/>
      <c r="M88" s="277"/>
      <c r="N88" s="277"/>
      <c r="O88" s="277"/>
      <c r="P88" s="277"/>
      <c r="Q88" s="277"/>
      <c r="R88" s="277"/>
      <c r="S88" s="277"/>
      <c r="T88" s="277"/>
      <c r="U88" s="291"/>
      <c r="V88" s="291"/>
      <c r="W88" s="291"/>
      <c r="X88" s="291"/>
      <c r="Y88" s="291"/>
      <c r="Z88" s="291"/>
      <c r="AA88" s="301"/>
      <c r="AB88" s="301"/>
      <c r="AC88" s="291"/>
      <c r="AD88" s="291"/>
      <c r="AE88" s="291"/>
      <c r="AF88" s="301" t="s">
        <v>255</v>
      </c>
      <c r="AG88" s="291"/>
      <c r="AH88" s="291"/>
      <c r="AI88" s="301"/>
      <c r="AJ88" s="301"/>
      <c r="AK88" s="291"/>
      <c r="AL88" s="291"/>
      <c r="AM88" s="277"/>
      <c r="AN88" s="277"/>
      <c r="AO88" s="279"/>
    </row>
    <row r="89" spans="3:41">
      <c r="C89" s="291"/>
      <c r="D89" s="291"/>
      <c r="E89" s="291"/>
      <c r="F89" s="291"/>
      <c r="G89" s="291"/>
      <c r="H89" s="291"/>
      <c r="I89" s="291"/>
      <c r="J89" s="291"/>
      <c r="K89" s="291"/>
      <c r="L89" s="291"/>
      <c r="M89" s="291"/>
      <c r="N89" s="291"/>
      <c r="O89" s="291"/>
      <c r="P89" s="291"/>
      <c r="Q89" s="291"/>
      <c r="R89" s="291"/>
      <c r="S89" s="291"/>
      <c r="T89" s="291"/>
      <c r="U89" s="291"/>
      <c r="V89" s="291"/>
      <c r="W89" s="291"/>
      <c r="X89" s="304" t="s">
        <v>256</v>
      </c>
      <c r="Y89" s="291"/>
      <c r="Z89" s="302" t="str">
        <f>D80</f>
        <v>RATILAL BALUBHAI CHOUDHARI</v>
      </c>
      <c r="AA89" s="302"/>
      <c r="AB89" s="268"/>
      <c r="AC89" s="291"/>
      <c r="AD89" s="291"/>
      <c r="AE89" s="291"/>
      <c r="AF89" s="291"/>
      <c r="AG89" s="291"/>
      <c r="AH89" s="291"/>
      <c r="AI89" s="291"/>
      <c r="AJ89" s="291"/>
      <c r="AK89" s="291"/>
      <c r="AL89" s="291"/>
      <c r="AM89" s="291"/>
      <c r="AN89" s="291"/>
      <c r="AO89" s="279"/>
    </row>
    <row r="90" spans="3:41" ht="15.75">
      <c r="C90" s="291"/>
      <c r="D90" s="291"/>
      <c r="E90" s="291"/>
      <c r="F90" s="303"/>
      <c r="G90" s="303"/>
      <c r="H90" s="303"/>
      <c r="I90" s="303"/>
      <c r="J90" s="303"/>
      <c r="K90" s="303"/>
      <c r="L90" s="303"/>
      <c r="M90" s="303"/>
      <c r="N90" s="303"/>
      <c r="O90" s="303"/>
      <c r="P90" s="291"/>
      <c r="Q90" s="291"/>
      <c r="R90" s="291"/>
      <c r="S90" s="291"/>
      <c r="T90" s="291"/>
      <c r="U90" s="291"/>
      <c r="V90" s="291"/>
      <c r="W90" s="291"/>
      <c r="X90" s="291"/>
      <c r="Y90" s="291"/>
      <c r="Z90" s="302"/>
      <c r="AA90" s="302"/>
      <c r="AB90" s="268"/>
      <c r="AC90" s="291"/>
      <c r="AD90" s="291"/>
      <c r="AE90" s="291"/>
      <c r="AF90" s="291"/>
      <c r="AG90" s="291"/>
      <c r="AH90" s="291"/>
      <c r="AI90" s="291"/>
      <c r="AJ90" s="291"/>
      <c r="AK90" s="291"/>
      <c r="AL90" s="291"/>
      <c r="AM90" s="291"/>
      <c r="AN90" s="291"/>
      <c r="AO90" s="279"/>
    </row>
    <row r="91" spans="3:41">
      <c r="C91" s="291"/>
      <c r="D91" s="291"/>
      <c r="E91" s="291"/>
      <c r="F91" s="291"/>
      <c r="G91" s="291"/>
      <c r="H91" s="291"/>
      <c r="I91" s="291"/>
      <c r="J91" s="291"/>
      <c r="K91" s="291"/>
      <c r="L91" s="291"/>
      <c r="M91" s="291"/>
      <c r="N91" s="291"/>
      <c r="O91" s="291"/>
      <c r="P91" s="291"/>
      <c r="Q91" s="291"/>
      <c r="R91" s="291"/>
      <c r="S91" s="291"/>
      <c r="T91" s="291"/>
      <c r="U91" s="291"/>
      <c r="V91" s="291"/>
      <c r="W91" s="291"/>
      <c r="X91" s="304" t="s">
        <v>93</v>
      </c>
      <c r="Y91" s="291"/>
      <c r="Z91" s="1123" t="str">
        <f>'Master Deails'!H24</f>
        <v xml:space="preserve">Account Officer </v>
      </c>
      <c r="AA91" s="1123"/>
      <c r="AB91" s="268"/>
      <c r="AC91" s="291"/>
      <c r="AD91" s="291"/>
      <c r="AE91" s="291"/>
      <c r="AF91" s="291"/>
      <c r="AG91" s="291"/>
      <c r="AH91" s="291"/>
      <c r="AI91" s="291"/>
      <c r="AJ91" s="291"/>
      <c r="AK91" s="291"/>
      <c r="AL91" s="291"/>
      <c r="AM91" s="291"/>
      <c r="AN91" s="291"/>
      <c r="AO91" s="279"/>
    </row>
    <row r="92" spans="3:41">
      <c r="C92" s="291"/>
      <c r="D92" s="291"/>
      <c r="E92" s="291"/>
      <c r="F92" s="291"/>
      <c r="G92" s="291"/>
      <c r="H92" s="291"/>
      <c r="I92" s="1957"/>
      <c r="J92" s="1957"/>
      <c r="K92" s="1957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1123" t="str">
        <f>'Master Deails'!H25</f>
        <v>Dangs District Panchayat Ahwa</v>
      </c>
      <c r="AA92" s="1123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  <c r="AO92" s="279"/>
    </row>
    <row r="93" spans="3:41">
      <c r="C93" s="291"/>
      <c r="D93" s="291"/>
      <c r="E93" s="291"/>
      <c r="F93" s="291"/>
      <c r="G93" s="291"/>
      <c r="H93" s="291"/>
      <c r="I93" s="291"/>
      <c r="J93" s="291"/>
      <c r="K93" s="291"/>
      <c r="L93" s="291"/>
      <c r="M93" s="291"/>
      <c r="N93" s="291"/>
      <c r="O93" s="291"/>
      <c r="P93" s="291"/>
      <c r="Q93" s="291"/>
      <c r="R93" s="291"/>
      <c r="S93" s="291"/>
      <c r="T93" s="291"/>
      <c r="U93" s="306"/>
      <c r="V93" s="306"/>
      <c r="W93" s="306"/>
      <c r="X93" s="306"/>
      <c r="Y93" s="306"/>
      <c r="Z93" s="1123" t="str">
        <f>'Master Deails'!H26</f>
        <v>Ahwa</v>
      </c>
      <c r="AA93" s="1124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1"/>
      <c r="AN93" s="291"/>
      <c r="AO93" s="279"/>
    </row>
    <row r="94" spans="3:41" hidden="1">
      <c r="C94" s="291"/>
      <c r="D94" s="291"/>
      <c r="E94" s="291"/>
      <c r="F94" s="291"/>
      <c r="G94" s="291"/>
      <c r="H94" s="291"/>
      <c r="I94" s="291"/>
      <c r="J94" s="291"/>
      <c r="K94" s="291"/>
      <c r="L94" s="291"/>
      <c r="M94" s="291"/>
      <c r="N94" s="291"/>
      <c r="O94" s="291"/>
      <c r="P94" s="291"/>
      <c r="Q94" s="291"/>
      <c r="R94" s="291"/>
      <c r="S94" s="291"/>
      <c r="T94" s="291"/>
      <c r="U94" s="310"/>
      <c r="V94" s="310"/>
      <c r="W94" s="310"/>
      <c r="X94" s="310"/>
      <c r="Y94" s="310"/>
      <c r="Z94" s="310"/>
      <c r="AA94" s="310"/>
      <c r="AB94" s="310"/>
      <c r="AC94" s="310"/>
      <c r="AD94" s="310"/>
      <c r="AE94" s="310"/>
      <c r="AF94" s="310"/>
      <c r="AG94" s="310"/>
      <c r="AH94" s="310"/>
      <c r="AI94" s="310"/>
      <c r="AJ94" s="310"/>
      <c r="AK94" s="310"/>
      <c r="AL94" s="310"/>
      <c r="AM94" s="291"/>
      <c r="AN94" s="291"/>
      <c r="AO94" s="279"/>
    </row>
    <row r="95" spans="3:41" hidden="1">
      <c r="C95" s="291"/>
      <c r="D95" s="291"/>
      <c r="E95" s="291"/>
      <c r="F95" s="291"/>
      <c r="G95" s="291"/>
      <c r="H95" s="291"/>
      <c r="I95" s="291"/>
      <c r="J95" s="291"/>
      <c r="K95" s="291"/>
      <c r="L95" s="291"/>
      <c r="M95" s="291"/>
      <c r="N95" s="291"/>
      <c r="O95" s="291"/>
      <c r="P95" s="291"/>
      <c r="Q95" s="291"/>
      <c r="R95" s="291"/>
      <c r="S95" s="291"/>
      <c r="T95" s="291"/>
      <c r="AM95" s="291"/>
      <c r="AN95" s="291"/>
      <c r="AO95" s="279"/>
    </row>
    <row r="96" spans="3:41" hidden="1">
      <c r="C96" s="306"/>
      <c r="D96" s="306"/>
      <c r="E96" s="306"/>
      <c r="F96" s="306"/>
      <c r="G96" s="306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AM96" s="306"/>
      <c r="AN96" s="306"/>
      <c r="AO96" s="279"/>
    </row>
    <row r="97" spans="3:41" hidden="1">
      <c r="C97" s="306"/>
      <c r="D97" s="310"/>
      <c r="E97" s="310"/>
      <c r="F97" s="310"/>
      <c r="G97" s="310"/>
      <c r="H97" s="310"/>
      <c r="I97" s="310"/>
      <c r="J97" s="310"/>
      <c r="K97" s="310"/>
      <c r="L97" s="310"/>
      <c r="M97" s="310"/>
      <c r="N97" s="310"/>
      <c r="O97" s="310"/>
      <c r="P97" s="310"/>
      <c r="Q97" s="310"/>
      <c r="R97" s="310"/>
      <c r="S97" s="310"/>
      <c r="T97" s="310"/>
      <c r="AM97" s="309"/>
      <c r="AN97" s="310"/>
      <c r="AO97" s="279"/>
    </row>
    <row r="98" spans="3:41" hidden="1">
      <c r="C98" s="299"/>
      <c r="D98" s="311"/>
      <c r="E98" s="311"/>
      <c r="F98" s="311"/>
      <c r="G98" s="311"/>
      <c r="H98" s="311"/>
      <c r="I98" s="311"/>
      <c r="J98" s="311"/>
      <c r="K98" s="311"/>
      <c r="L98" s="311"/>
      <c r="M98" s="310"/>
      <c r="N98" s="310"/>
      <c r="O98" s="310"/>
      <c r="P98" s="310"/>
      <c r="Q98" s="310"/>
      <c r="R98" s="266"/>
      <c r="S98" s="310"/>
      <c r="T98" s="310"/>
      <c r="U98" s="310"/>
      <c r="V98" s="310"/>
      <c r="W98" s="310"/>
      <c r="X98" s="310"/>
      <c r="Y98" s="310"/>
      <c r="Z98" s="310"/>
      <c r="AA98" s="310"/>
      <c r="AB98" s="310"/>
      <c r="AC98" s="312">
        <f>SUM('FORM 16_2 (OLD)'!AI28:AM33)</f>
        <v>57600</v>
      </c>
      <c r="AD98" s="310"/>
      <c r="AE98" s="310"/>
      <c r="AF98" s="310"/>
      <c r="AG98" s="310"/>
      <c r="AH98" s="310"/>
      <c r="AI98" s="310"/>
      <c r="AJ98" s="310"/>
      <c r="AK98" s="310"/>
      <c r="AL98" s="310"/>
      <c r="AM98" s="309"/>
      <c r="AN98" s="313"/>
      <c r="AO98" s="279"/>
    </row>
    <row r="99" spans="3:41" hidden="1">
      <c r="C99" s="315"/>
      <c r="D99" s="309"/>
      <c r="E99" s="309"/>
      <c r="F99" s="309"/>
      <c r="G99" s="309"/>
      <c r="H99" s="309"/>
      <c r="I99" s="309"/>
      <c r="J99" s="309"/>
      <c r="K99" s="309"/>
      <c r="L99" s="309"/>
      <c r="M99" s="309"/>
      <c r="N99" s="309"/>
      <c r="O99" s="309"/>
      <c r="P99" s="309"/>
      <c r="Q99" s="309"/>
      <c r="R99" s="309"/>
      <c r="S99" s="309"/>
      <c r="T99" s="309"/>
      <c r="U99" s="309"/>
      <c r="V99" s="309"/>
      <c r="W99" s="309"/>
      <c r="X99" s="309"/>
      <c r="Y99" s="309"/>
      <c r="Z99" s="309"/>
      <c r="AA99" s="309"/>
      <c r="AB99" s="309"/>
      <c r="AC99" s="309"/>
      <c r="AD99" s="309"/>
      <c r="AE99" s="309"/>
      <c r="AF99" s="309"/>
      <c r="AG99" s="309"/>
      <c r="AH99" s="309"/>
      <c r="AI99" s="309"/>
      <c r="AJ99" s="309"/>
      <c r="AK99" s="309"/>
      <c r="AL99" s="309"/>
      <c r="AM99" s="309"/>
      <c r="AN99" s="316"/>
      <c r="AO99" s="279"/>
    </row>
    <row r="100" spans="3:41" hidden="1">
      <c r="AB100" s="279"/>
      <c r="AC100" s="279"/>
      <c r="AD100" s="279"/>
      <c r="AE100" s="279"/>
      <c r="AF100" s="279"/>
      <c r="AG100" s="279"/>
      <c r="AH100" s="279"/>
      <c r="AI100" s="279"/>
      <c r="AJ100" s="279"/>
      <c r="AK100" s="279"/>
      <c r="AL100" s="279"/>
      <c r="AM100" s="279"/>
      <c r="AN100" s="279"/>
      <c r="AO100" s="279"/>
    </row>
    <row r="101" spans="3:41" hidden="1">
      <c r="AB101" s="279"/>
      <c r="AC101" s="279"/>
      <c r="AD101" s="279"/>
      <c r="AE101" s="279"/>
      <c r="AF101" s="279"/>
      <c r="AG101" s="279"/>
      <c r="AH101" s="279"/>
      <c r="AI101" s="279"/>
      <c r="AJ101" s="279"/>
      <c r="AK101" s="279"/>
      <c r="AL101" s="279"/>
      <c r="AM101" s="279"/>
      <c r="AN101" s="279"/>
      <c r="AO101" s="279"/>
    </row>
    <row r="102" spans="3:41" hidden="1">
      <c r="AB102" s="279"/>
      <c r="AC102" s="279"/>
      <c r="AD102" s="279"/>
      <c r="AE102" s="279"/>
      <c r="AF102" s="279"/>
      <c r="AG102" s="279"/>
      <c r="AH102" s="279"/>
      <c r="AI102" s="279"/>
      <c r="AJ102" s="279"/>
      <c r="AK102" s="279"/>
      <c r="AL102" s="279"/>
      <c r="AM102" s="279"/>
      <c r="AN102" s="279"/>
      <c r="AO102" s="279"/>
    </row>
    <row r="103" spans="3:41" hidden="1">
      <c r="AB103" s="279"/>
      <c r="AC103" s="279"/>
      <c r="AD103" s="279"/>
      <c r="AE103" s="279"/>
      <c r="AF103" s="279"/>
      <c r="AG103" s="279"/>
      <c r="AH103" s="279"/>
      <c r="AI103" s="279"/>
      <c r="AJ103" s="279"/>
      <c r="AK103" s="279"/>
      <c r="AL103" s="279"/>
      <c r="AM103" s="279"/>
      <c r="AN103" s="279"/>
      <c r="AO103" s="279"/>
    </row>
    <row r="104" spans="3:41" hidden="1">
      <c r="AB104" s="279"/>
      <c r="AC104" s="279"/>
      <c r="AD104" s="279"/>
      <c r="AE104" s="279"/>
      <c r="AF104" s="279"/>
      <c r="AG104" s="279"/>
      <c r="AH104" s="279"/>
      <c r="AI104" s="279"/>
      <c r="AJ104" s="279"/>
      <c r="AK104" s="279"/>
      <c r="AL104" s="279"/>
      <c r="AM104" s="279"/>
      <c r="AN104" s="279"/>
      <c r="AO104" s="279"/>
    </row>
    <row r="105" spans="3:41" hidden="1">
      <c r="AB105" s="279"/>
      <c r="AC105" s="279"/>
      <c r="AD105" s="279"/>
      <c r="AE105" s="279"/>
      <c r="AF105" s="279"/>
      <c r="AG105" s="279"/>
      <c r="AH105" s="279"/>
      <c r="AI105" s="279"/>
      <c r="AJ105" s="279"/>
      <c r="AK105" s="279"/>
      <c r="AL105" s="279"/>
      <c r="AM105" s="279"/>
      <c r="AN105" s="279"/>
      <c r="AO105" s="279"/>
    </row>
    <row r="106" spans="3:41" hidden="1">
      <c r="AB106" s="279"/>
      <c r="AC106" s="279"/>
      <c r="AD106" s="279"/>
      <c r="AE106" s="279"/>
      <c r="AF106" s="279"/>
      <c r="AG106" s="279"/>
      <c r="AH106" s="279"/>
      <c r="AI106" s="279"/>
      <c r="AJ106" s="279"/>
      <c r="AK106" s="279"/>
      <c r="AL106" s="279"/>
      <c r="AM106" s="279"/>
      <c r="AN106" s="279"/>
      <c r="AO106" s="279"/>
    </row>
    <row r="107" spans="3:41" hidden="1">
      <c r="AB107" s="279"/>
      <c r="AC107" s="279"/>
      <c r="AD107" s="279"/>
      <c r="AE107" s="279"/>
      <c r="AF107" s="279"/>
      <c r="AG107" s="279"/>
      <c r="AH107" s="279"/>
      <c r="AI107" s="279"/>
      <c r="AJ107" s="279"/>
      <c r="AK107" s="279"/>
      <c r="AL107" s="279"/>
      <c r="AM107" s="279"/>
      <c r="AN107" s="279"/>
      <c r="AO107" s="279"/>
    </row>
    <row r="108" spans="3:41" hidden="1">
      <c r="AB108" s="279"/>
      <c r="AC108" s="279"/>
      <c r="AD108" s="279"/>
      <c r="AE108" s="279"/>
      <c r="AF108" s="279"/>
      <c r="AG108" s="279"/>
      <c r="AH108" s="279"/>
      <c r="AI108" s="279"/>
      <c r="AJ108" s="279"/>
      <c r="AK108" s="279"/>
      <c r="AL108" s="279"/>
      <c r="AM108" s="279"/>
      <c r="AN108" s="279"/>
      <c r="AO108" s="279"/>
    </row>
    <row r="109" spans="3:41" hidden="1">
      <c r="AB109" s="279"/>
      <c r="AC109" s="279"/>
      <c r="AD109" s="279"/>
      <c r="AE109" s="279"/>
      <c r="AF109" s="279"/>
      <c r="AG109" s="279"/>
      <c r="AH109" s="279"/>
      <c r="AI109" s="279"/>
      <c r="AJ109" s="279"/>
      <c r="AK109" s="279"/>
      <c r="AL109" s="279"/>
      <c r="AM109" s="279"/>
      <c r="AN109" s="279"/>
      <c r="AO109" s="279"/>
    </row>
    <row r="110" spans="3:41" hidden="1">
      <c r="AB110" s="279"/>
      <c r="AC110" s="279"/>
      <c r="AD110" s="279"/>
      <c r="AE110" s="279"/>
      <c r="AF110" s="279"/>
      <c r="AG110" s="279"/>
      <c r="AH110" s="279"/>
      <c r="AI110" s="279"/>
      <c r="AJ110" s="279"/>
      <c r="AK110" s="279"/>
      <c r="AL110" s="279"/>
      <c r="AM110" s="279"/>
      <c r="AN110" s="279"/>
      <c r="AO110" s="279"/>
    </row>
    <row r="111" spans="3:41" hidden="1">
      <c r="AB111" s="279"/>
      <c r="AC111" s="279"/>
      <c r="AD111" s="279"/>
      <c r="AE111" s="279"/>
      <c r="AF111" s="279"/>
      <c r="AG111" s="279"/>
      <c r="AH111" s="279"/>
      <c r="AI111" s="279"/>
      <c r="AJ111" s="279"/>
      <c r="AK111" s="279"/>
      <c r="AL111" s="279"/>
      <c r="AM111" s="279"/>
      <c r="AN111" s="279"/>
      <c r="AO111" s="279"/>
    </row>
    <row r="112" spans="3:41" hidden="1">
      <c r="AB112" s="279"/>
      <c r="AC112" s="279"/>
      <c r="AD112" s="279"/>
      <c r="AE112" s="279"/>
      <c r="AF112" s="279"/>
      <c r="AG112" s="279"/>
      <c r="AH112" s="279"/>
      <c r="AI112" s="279"/>
      <c r="AJ112" s="279"/>
      <c r="AK112" s="279"/>
      <c r="AL112" s="279"/>
      <c r="AM112" s="279"/>
      <c r="AN112" s="279"/>
      <c r="AO112" s="279"/>
    </row>
    <row r="113" spans="1:50" hidden="1">
      <c r="AB113" s="279"/>
      <c r="AC113" s="279"/>
      <c r="AD113" s="279"/>
      <c r="AE113" s="279"/>
      <c r="AF113" s="279"/>
      <c r="AG113" s="279"/>
      <c r="AH113" s="279"/>
      <c r="AI113" s="279"/>
      <c r="AJ113" s="279"/>
      <c r="AK113" s="279"/>
      <c r="AL113" s="279"/>
      <c r="AM113" s="279"/>
      <c r="AN113" s="279"/>
      <c r="AO113" s="279"/>
    </row>
    <row r="114" spans="1:50" hidden="1">
      <c r="AB114" s="279"/>
      <c r="AC114" s="279"/>
      <c r="AD114" s="279"/>
      <c r="AE114" s="279"/>
      <c r="AF114" s="279"/>
      <c r="AG114" s="279"/>
      <c r="AH114" s="279"/>
      <c r="AI114" s="279"/>
      <c r="AJ114" s="279"/>
      <c r="AK114" s="279"/>
      <c r="AL114" s="279"/>
      <c r="AM114" s="279"/>
      <c r="AN114" s="279"/>
      <c r="AO114" s="279"/>
    </row>
    <row r="115" spans="1:50" hidden="1">
      <c r="AB115" s="279"/>
      <c r="AC115" s="279"/>
      <c r="AD115" s="279"/>
      <c r="AE115" s="279"/>
      <c r="AF115" s="279"/>
      <c r="AG115" s="279"/>
      <c r="AH115" s="279"/>
      <c r="AI115" s="279"/>
      <c r="AJ115" s="279"/>
      <c r="AK115" s="279"/>
      <c r="AL115" s="279"/>
      <c r="AM115" s="279"/>
      <c r="AN115" s="279"/>
      <c r="AO115" s="279"/>
    </row>
    <row r="116" spans="1:50" hidden="1">
      <c r="AB116" s="279"/>
      <c r="AC116" s="279"/>
      <c r="AD116" s="279"/>
      <c r="AE116" s="279"/>
      <c r="AF116" s="279"/>
      <c r="AG116" s="279"/>
      <c r="AH116" s="279"/>
      <c r="AI116" s="279"/>
      <c r="AJ116" s="279"/>
      <c r="AK116" s="279"/>
      <c r="AL116" s="279"/>
      <c r="AM116" s="279"/>
      <c r="AN116" s="279"/>
      <c r="AO116" s="279"/>
    </row>
    <row r="117" spans="1:50" s="283" customFormat="1" ht="18.75" hidden="1">
      <c r="A117" s="280"/>
      <c r="B117" s="281"/>
      <c r="C117" s="281"/>
      <c r="D117" s="281"/>
      <c r="E117" s="281"/>
      <c r="F117" s="281"/>
      <c r="G117" s="281"/>
      <c r="H117" s="281"/>
      <c r="I117" s="281"/>
      <c r="J117" s="281"/>
      <c r="K117" s="281"/>
      <c r="L117" s="281"/>
      <c r="M117" s="281"/>
      <c r="N117" s="281"/>
      <c r="O117" s="281"/>
      <c r="P117" s="281"/>
      <c r="Q117" s="281"/>
      <c r="R117" s="281"/>
      <c r="S117" s="281"/>
      <c r="T117" s="281"/>
      <c r="U117" s="281"/>
      <c r="V117" s="281"/>
      <c r="W117" s="281"/>
      <c r="X117" s="281"/>
      <c r="Y117" s="281"/>
      <c r="Z117" s="281"/>
      <c r="AA117" s="281"/>
      <c r="AB117" s="281"/>
      <c r="AC117" s="281"/>
      <c r="AD117" s="281"/>
      <c r="AE117" s="281"/>
      <c r="AF117" s="281"/>
      <c r="AG117" s="281"/>
      <c r="AH117" s="281"/>
      <c r="AI117" s="281"/>
      <c r="AJ117" s="281"/>
      <c r="AK117" s="281"/>
      <c r="AL117" s="281"/>
      <c r="AM117" s="281"/>
      <c r="AN117" s="281"/>
      <c r="AO117" s="281"/>
      <c r="AP117" s="2051"/>
      <c r="AQ117" s="2051"/>
      <c r="AR117" s="2051"/>
      <c r="AS117" s="282"/>
      <c r="AT117" s="282"/>
      <c r="AU117" s="282"/>
      <c r="AV117" s="282"/>
      <c r="AW117" s="282"/>
      <c r="AX117" s="282"/>
    </row>
    <row r="118" spans="1:50" s="283" customFormat="1" ht="18.75" hidden="1">
      <c r="A118" s="280"/>
      <c r="B118" s="281"/>
      <c r="C118" s="281"/>
      <c r="D118" s="281"/>
      <c r="E118" s="281"/>
      <c r="F118" s="281"/>
      <c r="G118" s="281"/>
      <c r="H118" s="281"/>
      <c r="I118" s="281"/>
      <c r="J118" s="281"/>
      <c r="K118" s="281"/>
      <c r="L118" s="281"/>
      <c r="M118" s="281"/>
      <c r="N118" s="281"/>
      <c r="O118" s="281"/>
      <c r="P118" s="281"/>
      <c r="Q118" s="281"/>
      <c r="R118" s="281"/>
      <c r="S118" s="281"/>
      <c r="T118" s="281"/>
      <c r="U118" s="281"/>
      <c r="V118" s="281"/>
      <c r="W118" s="281"/>
      <c r="X118" s="281"/>
      <c r="Y118" s="281"/>
      <c r="Z118" s="281"/>
      <c r="AA118" s="281"/>
      <c r="AB118" s="281"/>
      <c r="AC118" s="281"/>
      <c r="AD118" s="281"/>
      <c r="AE118" s="281"/>
      <c r="AF118" s="281"/>
      <c r="AG118" s="281"/>
      <c r="AH118" s="281"/>
      <c r="AI118" s="281"/>
      <c r="AJ118" s="281"/>
      <c r="AK118" s="281"/>
      <c r="AL118" s="281"/>
      <c r="AM118" s="281"/>
      <c r="AN118" s="282"/>
      <c r="AO118" s="282"/>
      <c r="AP118" s="2051"/>
      <c r="AQ118" s="2051"/>
      <c r="AR118" s="2051"/>
      <c r="AS118" s="282"/>
      <c r="AT118" s="282"/>
      <c r="AU118" s="282"/>
      <c r="AV118" s="282"/>
      <c r="AW118" s="282"/>
      <c r="AX118" s="282"/>
    </row>
    <row r="119" spans="1:50" s="283" customFormat="1" ht="18.75" hidden="1">
      <c r="A119" s="280"/>
      <c r="B119" s="281"/>
      <c r="C119" s="281"/>
      <c r="D119" s="281"/>
      <c r="E119" s="281"/>
      <c r="F119" s="281"/>
      <c r="G119" s="281"/>
      <c r="H119" s="281"/>
      <c r="I119" s="281"/>
      <c r="J119" s="281"/>
      <c r="K119" s="281"/>
      <c r="L119" s="281"/>
      <c r="M119" s="281"/>
      <c r="N119" s="281"/>
      <c r="O119" s="281"/>
      <c r="P119" s="281"/>
      <c r="Q119" s="281"/>
      <c r="R119" s="281"/>
      <c r="S119" s="281"/>
      <c r="T119" s="281"/>
      <c r="U119" s="281"/>
      <c r="V119" s="281"/>
      <c r="W119" s="281"/>
      <c r="X119" s="281"/>
      <c r="Y119" s="281"/>
      <c r="Z119" s="281"/>
      <c r="AA119" s="281"/>
      <c r="AB119" s="281"/>
      <c r="AC119" s="281"/>
      <c r="AD119" s="281"/>
      <c r="AE119" s="281"/>
      <c r="AF119" s="281"/>
      <c r="AG119" s="281"/>
      <c r="AH119" s="281"/>
      <c r="AI119" s="281"/>
      <c r="AJ119" s="281"/>
      <c r="AK119" s="281"/>
      <c r="AL119" s="281"/>
      <c r="AM119" s="281"/>
      <c r="AN119" s="282"/>
      <c r="AO119" s="282"/>
      <c r="AP119" s="2051"/>
      <c r="AQ119" s="2051"/>
      <c r="AR119" s="2051"/>
      <c r="AS119" s="282"/>
      <c r="AT119" s="282"/>
      <c r="AU119" s="282"/>
      <c r="AV119" s="282"/>
      <c r="AW119" s="282"/>
      <c r="AX119" s="282"/>
    </row>
    <row r="120" spans="1:50"/>
  </sheetData>
  <sheetProtection password="CCFF" sheet="1" objects="1" scenarios="1" formatCells="0" formatColumns="0" formatRows="0"/>
  <mergeCells count="138">
    <mergeCell ref="D55:O55"/>
    <mergeCell ref="AI66:AM66"/>
    <mergeCell ref="AC58:AG58"/>
    <mergeCell ref="AI65:AM65"/>
    <mergeCell ref="AI62:AM62"/>
    <mergeCell ref="AI71:AM71"/>
    <mergeCell ref="AI72:AM72"/>
    <mergeCell ref="AI55:AM55"/>
    <mergeCell ref="V53:Z53"/>
    <mergeCell ref="AI54:AM54"/>
    <mergeCell ref="AI53:AM53"/>
    <mergeCell ref="W60:AA60"/>
    <mergeCell ref="V58:Z58"/>
    <mergeCell ref="V56:Z56"/>
    <mergeCell ref="V57:Z57"/>
    <mergeCell ref="AC54:AG54"/>
    <mergeCell ref="AI69:AM69"/>
    <mergeCell ref="AI70:AM70"/>
    <mergeCell ref="AI63:AM63"/>
    <mergeCell ref="AI64:AM64"/>
    <mergeCell ref="AI67:AM67"/>
    <mergeCell ref="AI68:AM68"/>
    <mergeCell ref="AI58:AM58"/>
    <mergeCell ref="AI60:AM60"/>
    <mergeCell ref="D29:J32"/>
    <mergeCell ref="U37:AC37"/>
    <mergeCell ref="D33:J33"/>
    <mergeCell ref="D35:J35"/>
    <mergeCell ref="D34:J34"/>
    <mergeCell ref="K35:S35"/>
    <mergeCell ref="K36:S36"/>
    <mergeCell ref="U36:AC36"/>
    <mergeCell ref="AI52:AM52"/>
    <mergeCell ref="AI50:AM50"/>
    <mergeCell ref="AI48:AM48"/>
    <mergeCell ref="AI43:AM43"/>
    <mergeCell ref="AI47:AM47"/>
    <mergeCell ref="AI45:AM45"/>
    <mergeCell ref="AI46:AM46"/>
    <mergeCell ref="AC52:AG52"/>
    <mergeCell ref="W43:AA43"/>
    <mergeCell ref="AC44:AG44"/>
    <mergeCell ref="C13:T13"/>
    <mergeCell ref="C11:T11"/>
    <mergeCell ref="C12:T12"/>
    <mergeCell ref="C14:K14"/>
    <mergeCell ref="AJ25:AN25"/>
    <mergeCell ref="C39:AM39"/>
    <mergeCell ref="AE29:AL32"/>
    <mergeCell ref="U29:AC32"/>
    <mergeCell ref="AE36:AM36"/>
    <mergeCell ref="AE37:AM37"/>
    <mergeCell ref="AJ24:AN24"/>
    <mergeCell ref="AE24:AI24"/>
    <mergeCell ref="AJ22:AN22"/>
    <mergeCell ref="K33:S33"/>
    <mergeCell ref="AE19:AN21"/>
    <mergeCell ref="K37:S37"/>
    <mergeCell ref="U19:AC21"/>
    <mergeCell ref="V15:AM16"/>
    <mergeCell ref="AE22:AI22"/>
    <mergeCell ref="AJ23:AN23"/>
    <mergeCell ref="K29:S32"/>
    <mergeCell ref="D23:S23"/>
    <mergeCell ref="AE23:AI23"/>
    <mergeCell ref="V23:X24"/>
    <mergeCell ref="P2:AO2"/>
    <mergeCell ref="V13:AM13"/>
    <mergeCell ref="V12:AM12"/>
    <mergeCell ref="L14:T14"/>
    <mergeCell ref="A2:O2"/>
    <mergeCell ref="V11:AM11"/>
    <mergeCell ref="V14:AM14"/>
    <mergeCell ref="AJ26:AN26"/>
    <mergeCell ref="U35:AC35"/>
    <mergeCell ref="AE34:AM34"/>
    <mergeCell ref="U33:AC33"/>
    <mergeCell ref="AE33:AM33"/>
    <mergeCell ref="AE35:AM35"/>
    <mergeCell ref="Y23:AB24"/>
    <mergeCell ref="D24:S24"/>
    <mergeCell ref="G22:S22"/>
    <mergeCell ref="E15:J16"/>
    <mergeCell ref="N15:R16"/>
    <mergeCell ref="D19:S20"/>
    <mergeCell ref="AE26:AI26"/>
    <mergeCell ref="K34:S34"/>
    <mergeCell ref="O25:S25"/>
    <mergeCell ref="U34:AC34"/>
    <mergeCell ref="AE25:AI25"/>
    <mergeCell ref="I92:K92"/>
    <mergeCell ref="AI76:AM76"/>
    <mergeCell ref="M81:V81"/>
    <mergeCell ref="D80:U80"/>
    <mergeCell ref="V80:Y80"/>
    <mergeCell ref="AA80:AN80"/>
    <mergeCell ref="AI73:AM73"/>
    <mergeCell ref="F88:L88"/>
    <mergeCell ref="D36:J36"/>
    <mergeCell ref="D37:J37"/>
    <mergeCell ref="C41:AM41"/>
    <mergeCell ref="W50:AA50"/>
    <mergeCell ref="AC46:AG46"/>
    <mergeCell ref="AC45:AG45"/>
    <mergeCell ref="W48:AA48"/>
    <mergeCell ref="AC47:AG47"/>
    <mergeCell ref="AI44:AM44"/>
    <mergeCell ref="AC43:AG43"/>
    <mergeCell ref="AI74:AM74"/>
    <mergeCell ref="AI51:AM51"/>
    <mergeCell ref="P54:T54"/>
    <mergeCell ref="AC55:AG55"/>
    <mergeCell ref="F86:M86"/>
    <mergeCell ref="AI75:AM75"/>
    <mergeCell ref="D82:F82"/>
    <mergeCell ref="G82:AA82"/>
    <mergeCell ref="Y76:AB76"/>
    <mergeCell ref="P51:T51"/>
    <mergeCell ref="W47:AA47"/>
    <mergeCell ref="D52:O52"/>
    <mergeCell ref="AC51:AG51"/>
    <mergeCell ref="D53:O53"/>
    <mergeCell ref="P53:T53"/>
    <mergeCell ref="P52:T52"/>
    <mergeCell ref="V51:Z51"/>
    <mergeCell ref="D51:O51"/>
    <mergeCell ref="V52:Z52"/>
    <mergeCell ref="AC53:AG53"/>
    <mergeCell ref="V54:Z54"/>
    <mergeCell ref="V55:Z55"/>
    <mergeCell ref="D58:O58"/>
    <mergeCell ref="P58:T58"/>
    <mergeCell ref="P56:T56"/>
    <mergeCell ref="P57:T57"/>
    <mergeCell ref="D54:O54"/>
    <mergeCell ref="P55:T55"/>
    <mergeCell ref="D56:O56"/>
    <mergeCell ref="D57:O57"/>
  </mergeCells>
  <phoneticPr fontId="20" type="noConversion"/>
  <dataValidations count="3">
    <dataValidation allowBlank="1" showInputMessage="1" showErrorMessage="1" promptTitle="Input Acknowledgement No" prompt="ત્રણ મહિનાનો 24Q ફાઇલ કરે તેનો Acknowledgement નંબર" sqref="K33:S37"/>
    <dataValidation allowBlank="1" showInputMessage="1" showErrorMessage="1" promptTitle="Input Amounts" prompt="ત્રણ મહિનાનો દરમ્યાન કર્મચારી / અધિકારીને કેટલો ટેક્ષ લાગે તેની રકમ " sqref="U33:AC37"/>
    <dataValidation allowBlank="1" showInputMessage="1" showErrorMessage="1" promptTitle="Input Message" prompt="કર્મચારી / અધિકારીશ્રીને લાગેલ ટેક્ષ પૈકી ભરેલ ( કપાત ) રકમ" sqref="AE33:AM37"/>
  </dataValidations>
  <hyperlinks>
    <hyperlink ref="A2:C2" location="MainMenu!A1" display="MainMenu!A1"/>
  </hyperlinks>
  <printOptions horizontalCentered="1"/>
  <pageMargins left="0" right="0" top="0.511811023622047" bottom="0.511811023622047" header="0.23622047244094499" footer="0.39370078740157499"/>
  <pageSetup paperSize="9" scale="75" orientation="portrait" horizontalDpi="1200" verticalDpi="1200" r:id="rId1"/>
  <headerFooter alignWithMargins="0">
    <oddHeader>&amp;L&amp;"Bookman Old Style,Bold"mrkiritpatel@gmail.com / imu20593@gmail.com / dpbaria@gmail.com / chenspatil@gmail.com</oddHeader>
    <oddFooter>Page 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9">
    <tabColor indexed="45"/>
  </sheetPr>
  <dimension ref="A1:W55"/>
  <sheetViews>
    <sheetView showGridLines="0" showRowColHeaders="0" workbookViewId="0">
      <pane ySplit="1" topLeftCell="A2" activePane="bottomLeft" state="frozen"/>
      <selection pane="bottomLeft" activeCell="A3" sqref="A3"/>
    </sheetView>
  </sheetViews>
  <sheetFormatPr defaultColWidth="0" defaultRowHeight="15" zeroHeight="1"/>
  <cols>
    <col min="1" max="1" width="9" style="483" customWidth="1"/>
    <col min="2" max="2" width="19.125" style="483" customWidth="1"/>
    <col min="3" max="22" width="4.5" style="483" customWidth="1"/>
    <col min="23" max="23" width="2.25" style="483" customWidth="1"/>
    <col min="24" max="16384" width="0" style="483" hidden="1"/>
  </cols>
  <sheetData>
    <row r="1" spans="1:23" s="481" customFormat="1" ht="29.25" customHeight="1">
      <c r="A1" s="2043" t="s">
        <v>335</v>
      </c>
      <c r="B1" s="2043"/>
      <c r="C1" s="2043"/>
      <c r="D1" s="2043"/>
      <c r="E1" s="144"/>
      <c r="F1" s="2039" t="s">
        <v>302</v>
      </c>
      <c r="G1" s="2039"/>
      <c r="H1" s="2039"/>
      <c r="I1" s="2039"/>
      <c r="J1" s="2039"/>
      <c r="K1" s="2039"/>
      <c r="L1" s="2039"/>
      <c r="M1" s="2039"/>
      <c r="N1" s="2039"/>
      <c r="O1" s="2039"/>
      <c r="P1" s="2039"/>
      <c r="Q1" s="2039"/>
      <c r="R1" s="2039"/>
      <c r="S1" s="2039"/>
      <c r="T1" s="2039"/>
      <c r="U1" s="2039"/>
      <c r="V1" s="2039"/>
    </row>
    <row r="2" spans="1:23">
      <c r="A2" s="482" t="s">
        <v>280</v>
      </c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 s="482"/>
      <c r="O2" s="482"/>
      <c r="P2" s="482"/>
      <c r="Q2" s="482"/>
      <c r="R2" s="482"/>
      <c r="S2" s="482"/>
      <c r="T2" s="482"/>
      <c r="U2" s="482"/>
      <c r="V2" s="482"/>
    </row>
    <row r="3" spans="1:23" ht="48" customHeight="1">
      <c r="A3" s="484" t="s">
        <v>345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484"/>
      <c r="S3" s="484"/>
      <c r="T3" s="484"/>
      <c r="U3" s="484"/>
      <c r="V3" s="484"/>
      <c r="W3" s="485"/>
    </row>
    <row r="4" spans="1:23">
      <c r="A4" s="486"/>
      <c r="B4" s="486"/>
      <c r="C4" s="486"/>
      <c r="D4" s="486"/>
      <c r="E4" s="486"/>
      <c r="F4" s="486"/>
      <c r="G4" s="486"/>
      <c r="H4" s="486"/>
      <c r="I4" s="486"/>
      <c r="J4" s="486"/>
      <c r="K4" s="486"/>
      <c r="L4" s="486"/>
      <c r="M4" s="486"/>
      <c r="N4" s="486"/>
      <c r="O4" s="486"/>
      <c r="P4" s="486"/>
      <c r="Q4" s="486"/>
      <c r="R4" s="486"/>
      <c r="S4" s="486"/>
      <c r="T4" s="486"/>
      <c r="U4" s="486"/>
      <c r="V4" s="486"/>
      <c r="W4" s="485"/>
    </row>
    <row r="5" spans="1:23" s="481" customFormat="1">
      <c r="A5" s="2035" t="s">
        <v>295</v>
      </c>
      <c r="B5" s="2037" t="s">
        <v>296</v>
      </c>
      <c r="C5" s="487" t="s">
        <v>297</v>
      </c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  <c r="P5" s="488"/>
      <c r="Q5" s="488"/>
      <c r="R5" s="488"/>
      <c r="S5" s="488"/>
      <c r="T5" s="488"/>
      <c r="U5" s="488"/>
      <c r="V5" s="489"/>
    </row>
    <row r="6" spans="1:23" s="481" customFormat="1" ht="72" customHeight="1">
      <c r="A6" s="2036"/>
      <c r="B6" s="2038"/>
      <c r="C6" s="490" t="s">
        <v>298</v>
      </c>
      <c r="D6" s="490"/>
      <c r="E6" s="490"/>
      <c r="F6" s="490"/>
      <c r="G6" s="490"/>
      <c r="H6" s="490"/>
      <c r="I6" s="491"/>
      <c r="J6" s="2040" t="s">
        <v>299</v>
      </c>
      <c r="K6" s="2041"/>
      <c r="L6" s="2041"/>
      <c r="M6" s="2041"/>
      <c r="N6" s="2042"/>
      <c r="O6" s="492" t="s">
        <v>352</v>
      </c>
      <c r="P6" s="490"/>
      <c r="Q6" s="490"/>
      <c r="R6" s="490"/>
      <c r="S6" s="490"/>
      <c r="T6" s="490"/>
      <c r="U6" s="490"/>
      <c r="V6" s="491"/>
    </row>
    <row r="7" spans="1:23" s="481" customFormat="1" ht="20.100000000000001" customHeight="1">
      <c r="A7" s="476"/>
      <c r="B7" s="477"/>
      <c r="C7" s="476"/>
      <c r="D7" s="476"/>
      <c r="E7" s="476"/>
      <c r="F7" s="476"/>
      <c r="G7" s="476"/>
      <c r="H7" s="476"/>
      <c r="I7" s="476"/>
      <c r="J7" s="478"/>
      <c r="K7" s="478"/>
      <c r="L7" s="478"/>
      <c r="M7" s="478"/>
      <c r="N7" s="478"/>
      <c r="O7" s="478"/>
      <c r="P7" s="478"/>
      <c r="Q7" s="478"/>
      <c r="R7" s="475"/>
      <c r="S7" s="475"/>
      <c r="T7" s="475"/>
      <c r="U7" s="475"/>
      <c r="V7" s="475"/>
    </row>
    <row r="8" spans="1:23" s="481" customFormat="1" ht="20.100000000000001" customHeight="1">
      <c r="A8" s="476"/>
      <c r="B8" s="477"/>
      <c r="C8" s="476"/>
      <c r="D8" s="476"/>
      <c r="E8" s="476"/>
      <c r="F8" s="476"/>
      <c r="G8" s="476"/>
      <c r="H8" s="476"/>
      <c r="I8" s="476"/>
      <c r="J8" s="478"/>
      <c r="K8" s="478"/>
      <c r="L8" s="478"/>
      <c r="M8" s="478"/>
      <c r="N8" s="478"/>
      <c r="O8" s="478"/>
      <c r="P8" s="478"/>
      <c r="Q8" s="478"/>
      <c r="R8" s="475"/>
      <c r="S8" s="475"/>
      <c r="T8" s="475"/>
      <c r="U8" s="475"/>
      <c r="V8" s="475"/>
    </row>
    <row r="9" spans="1:23" s="481" customFormat="1" ht="20.100000000000001" customHeight="1">
      <c r="A9" s="476"/>
      <c r="B9" s="477"/>
      <c r="C9" s="476"/>
      <c r="D9" s="476"/>
      <c r="E9" s="476"/>
      <c r="F9" s="476"/>
      <c r="G9" s="476"/>
      <c r="H9" s="476"/>
      <c r="I9" s="476"/>
      <c r="J9" s="478"/>
      <c r="K9" s="478"/>
      <c r="L9" s="478"/>
      <c r="M9" s="478"/>
      <c r="N9" s="478"/>
      <c r="O9" s="478"/>
      <c r="P9" s="478"/>
      <c r="Q9" s="478"/>
      <c r="R9" s="475"/>
      <c r="S9" s="475"/>
      <c r="T9" s="475"/>
      <c r="U9" s="475"/>
      <c r="V9" s="475"/>
    </row>
    <row r="10" spans="1:23" s="481" customFormat="1" ht="20.100000000000001" customHeight="1">
      <c r="A10" s="476"/>
      <c r="B10" s="477"/>
      <c r="C10" s="476"/>
      <c r="D10" s="476"/>
      <c r="E10" s="476"/>
      <c r="F10" s="476"/>
      <c r="G10" s="476"/>
      <c r="H10" s="476"/>
      <c r="I10" s="476"/>
      <c r="J10" s="478"/>
      <c r="K10" s="478"/>
      <c r="L10" s="478"/>
      <c r="M10" s="478"/>
      <c r="N10" s="478"/>
      <c r="O10" s="478"/>
      <c r="P10" s="478"/>
      <c r="Q10" s="478"/>
      <c r="R10" s="475"/>
      <c r="S10" s="475"/>
      <c r="T10" s="475"/>
      <c r="U10" s="475"/>
      <c r="V10" s="475"/>
    </row>
    <row r="11" spans="1:23" s="481" customFormat="1" ht="20.100000000000001" customHeight="1">
      <c r="A11" s="476"/>
      <c r="B11" s="477"/>
      <c r="C11" s="476"/>
      <c r="D11" s="476"/>
      <c r="E11" s="476"/>
      <c r="F11" s="476"/>
      <c r="G11" s="476"/>
      <c r="H11" s="476"/>
      <c r="I11" s="476"/>
      <c r="J11" s="478"/>
      <c r="K11" s="478"/>
      <c r="L11" s="478"/>
      <c r="M11" s="478"/>
      <c r="N11" s="478"/>
      <c r="O11" s="478"/>
      <c r="P11" s="478"/>
      <c r="Q11" s="478"/>
      <c r="R11" s="475"/>
      <c r="S11" s="475"/>
      <c r="T11" s="475"/>
      <c r="U11" s="475"/>
      <c r="V11" s="475"/>
    </row>
    <row r="12" spans="1:23" s="481" customFormat="1" ht="20.100000000000001" customHeight="1">
      <c r="A12" s="476"/>
      <c r="B12" s="477"/>
      <c r="C12" s="476"/>
      <c r="D12" s="476"/>
      <c r="E12" s="476"/>
      <c r="F12" s="476"/>
      <c r="G12" s="476"/>
      <c r="H12" s="476"/>
      <c r="I12" s="476"/>
      <c r="J12" s="478"/>
      <c r="K12" s="478"/>
      <c r="L12" s="478"/>
      <c r="M12" s="478"/>
      <c r="N12" s="478"/>
      <c r="O12" s="478"/>
      <c r="P12" s="478"/>
      <c r="Q12" s="478"/>
      <c r="R12" s="475"/>
      <c r="S12" s="475"/>
      <c r="T12" s="475"/>
      <c r="U12" s="475"/>
      <c r="V12" s="475"/>
    </row>
    <row r="13" spans="1:23" s="481" customFormat="1" ht="20.100000000000001" customHeight="1">
      <c r="A13" s="476"/>
      <c r="B13" s="477"/>
      <c r="C13" s="476"/>
      <c r="D13" s="476"/>
      <c r="E13" s="476"/>
      <c r="F13" s="476"/>
      <c r="G13" s="476"/>
      <c r="H13" s="476"/>
      <c r="I13" s="476"/>
      <c r="J13" s="478"/>
      <c r="K13" s="478"/>
      <c r="L13" s="478"/>
      <c r="M13" s="478"/>
      <c r="N13" s="478"/>
      <c r="O13" s="478"/>
      <c r="P13" s="478"/>
      <c r="Q13" s="478"/>
      <c r="R13" s="475"/>
      <c r="S13" s="475"/>
      <c r="T13" s="475"/>
      <c r="U13" s="475"/>
      <c r="V13" s="475"/>
    </row>
    <row r="14" spans="1:23" s="481" customFormat="1" ht="20.100000000000001" customHeight="1">
      <c r="A14" s="476"/>
      <c r="B14" s="477"/>
      <c r="C14" s="476"/>
      <c r="D14" s="476"/>
      <c r="E14" s="476"/>
      <c r="F14" s="476"/>
      <c r="G14" s="476"/>
      <c r="H14" s="476"/>
      <c r="I14" s="476"/>
      <c r="J14" s="478"/>
      <c r="K14" s="478"/>
      <c r="L14" s="478"/>
      <c r="M14" s="478"/>
      <c r="N14" s="478"/>
      <c r="O14" s="478"/>
      <c r="P14" s="478"/>
      <c r="Q14" s="478"/>
      <c r="R14" s="475"/>
      <c r="S14" s="475"/>
      <c r="T14" s="475"/>
      <c r="U14" s="475"/>
      <c r="V14" s="475"/>
    </row>
    <row r="15" spans="1:23" s="481" customFormat="1" ht="20.100000000000001" customHeight="1">
      <c r="A15" s="476"/>
      <c r="B15" s="477"/>
      <c r="C15" s="476"/>
      <c r="D15" s="476"/>
      <c r="E15" s="476"/>
      <c r="F15" s="476"/>
      <c r="G15" s="476"/>
      <c r="H15" s="476"/>
      <c r="I15" s="476"/>
      <c r="J15" s="478"/>
      <c r="K15" s="478"/>
      <c r="L15" s="478"/>
      <c r="M15" s="478"/>
      <c r="N15" s="478"/>
      <c r="O15" s="478"/>
      <c r="P15" s="478"/>
      <c r="Q15" s="478"/>
      <c r="R15" s="475"/>
      <c r="S15" s="475"/>
      <c r="T15" s="475"/>
      <c r="U15" s="475"/>
      <c r="V15" s="475"/>
    </row>
    <row r="16" spans="1:23" s="481" customFormat="1" ht="20.100000000000001" customHeight="1">
      <c r="A16" s="476"/>
      <c r="B16" s="477"/>
      <c r="C16" s="476"/>
      <c r="D16" s="476"/>
      <c r="E16" s="476"/>
      <c r="F16" s="476"/>
      <c r="G16" s="476"/>
      <c r="H16" s="476"/>
      <c r="I16" s="476"/>
      <c r="J16" s="478"/>
      <c r="K16" s="478"/>
      <c r="L16" s="478"/>
      <c r="M16" s="478"/>
      <c r="N16" s="478"/>
      <c r="O16" s="478"/>
      <c r="P16" s="478"/>
      <c r="Q16" s="478"/>
      <c r="R16" s="475"/>
      <c r="S16" s="475"/>
      <c r="T16" s="475"/>
      <c r="U16" s="475"/>
      <c r="V16" s="475"/>
    </row>
    <row r="17" spans="1:22" s="481" customFormat="1" ht="20.100000000000001" customHeight="1">
      <c r="A17" s="476"/>
      <c r="B17" s="477"/>
      <c r="C17" s="476"/>
      <c r="D17" s="476"/>
      <c r="E17" s="476"/>
      <c r="F17" s="476"/>
      <c r="G17" s="476"/>
      <c r="H17" s="476"/>
      <c r="I17" s="476"/>
      <c r="J17" s="478"/>
      <c r="K17" s="478"/>
      <c r="L17" s="478"/>
      <c r="M17" s="478"/>
      <c r="N17" s="478"/>
      <c r="O17" s="478"/>
      <c r="P17" s="478"/>
      <c r="Q17" s="478"/>
      <c r="R17" s="475"/>
      <c r="S17" s="475"/>
      <c r="T17" s="475"/>
      <c r="U17" s="475"/>
      <c r="V17" s="475"/>
    </row>
    <row r="18" spans="1:22" s="481" customFormat="1" ht="20.100000000000001" customHeight="1">
      <c r="A18" s="479"/>
      <c r="B18" s="480"/>
      <c r="C18" s="476"/>
      <c r="D18" s="476"/>
      <c r="E18" s="476"/>
      <c r="F18" s="476"/>
      <c r="G18" s="476"/>
      <c r="H18" s="476"/>
      <c r="I18" s="476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  <c r="V18" s="475"/>
    </row>
    <row r="19" spans="1:22" s="481" customFormat="1" ht="20.100000000000001" customHeight="1">
      <c r="A19" s="479"/>
      <c r="B19" s="480"/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  <c r="V19" s="475"/>
    </row>
    <row r="20" spans="1:22" s="481" customFormat="1" ht="20.100000000000001" customHeight="1">
      <c r="A20" s="479"/>
      <c r="B20" s="480"/>
      <c r="C20" s="476"/>
      <c r="D20" s="476"/>
      <c r="E20" s="476"/>
      <c r="F20" s="476"/>
      <c r="G20" s="476"/>
      <c r="H20" s="476"/>
      <c r="I20" s="476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  <c r="V20" s="475"/>
    </row>
    <row r="21" spans="1:22" s="481" customFormat="1" ht="20.100000000000001" customHeight="1">
      <c r="A21" s="479"/>
      <c r="B21" s="480"/>
      <c r="C21" s="476"/>
      <c r="D21" s="476"/>
      <c r="E21" s="476"/>
      <c r="F21" s="476"/>
      <c r="G21" s="476"/>
      <c r="H21" s="476"/>
      <c r="I21" s="476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  <c r="V21" s="475"/>
    </row>
    <row r="22" spans="1:22" s="481" customFormat="1" ht="20.100000000000001" customHeight="1">
      <c r="A22" s="493" t="s">
        <v>70</v>
      </c>
      <c r="B22" s="494">
        <f>SUM(B7:B21)</f>
        <v>0</v>
      </c>
      <c r="C22" s="495"/>
      <c r="D22" s="496"/>
      <c r="E22" s="496"/>
      <c r="F22" s="496"/>
      <c r="G22" s="496"/>
      <c r="H22" s="496"/>
      <c r="I22" s="496"/>
      <c r="J22" s="496"/>
      <c r="K22" s="496"/>
      <c r="L22" s="496"/>
      <c r="M22" s="496"/>
      <c r="N22" s="496"/>
      <c r="O22" s="496"/>
      <c r="P22" s="496"/>
      <c r="Q22" s="496"/>
      <c r="R22" s="496"/>
      <c r="S22" s="496"/>
      <c r="T22" s="496"/>
      <c r="U22" s="496"/>
      <c r="V22" s="497"/>
    </row>
    <row r="23" spans="1:22"/>
    <row r="24" spans="1:22">
      <c r="A24" s="483" t="s">
        <v>350</v>
      </c>
      <c r="B24" s="483" t="s">
        <v>351</v>
      </c>
    </row>
    <row r="25" spans="1:22" ht="24.75" customHeight="1">
      <c r="B25" s="498"/>
    </row>
    <row r="26" spans="1:22" ht="9" customHeight="1">
      <c r="A26" s="499"/>
      <c r="B26" s="499"/>
      <c r="C26" s="499"/>
      <c r="D26" s="499"/>
      <c r="E26" s="499"/>
      <c r="F26" s="499"/>
      <c r="G26" s="499"/>
      <c r="H26" s="499"/>
      <c r="I26" s="499"/>
      <c r="J26" s="499"/>
      <c r="K26" s="499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</row>
    <row r="27" spans="1:22">
      <c r="A27" s="500" t="s">
        <v>344</v>
      </c>
      <c r="B27" s="500"/>
      <c r="C27" s="500"/>
      <c r="D27" s="500"/>
      <c r="E27" s="500"/>
      <c r="F27" s="500"/>
      <c r="G27" s="500"/>
      <c r="H27" s="500"/>
      <c r="I27" s="500"/>
      <c r="J27" s="500"/>
      <c r="K27" s="500"/>
      <c r="L27" s="500"/>
      <c r="M27" s="500"/>
      <c r="N27" s="500"/>
      <c r="O27" s="500"/>
      <c r="P27" s="500"/>
      <c r="Q27" s="500"/>
      <c r="R27" s="500"/>
      <c r="S27" s="500"/>
      <c r="T27" s="500"/>
      <c r="U27" s="500"/>
      <c r="V27" s="500"/>
    </row>
    <row r="28" spans="1:22" ht="48" customHeight="1">
      <c r="A28" s="501" t="s">
        <v>345</v>
      </c>
      <c r="B28" s="501"/>
      <c r="C28" s="501"/>
      <c r="D28" s="501"/>
      <c r="E28" s="501"/>
      <c r="F28" s="501"/>
      <c r="G28" s="501"/>
      <c r="H28" s="501"/>
      <c r="I28" s="501"/>
      <c r="J28" s="501"/>
      <c r="K28" s="501"/>
      <c r="L28" s="501"/>
      <c r="M28" s="501"/>
      <c r="N28" s="501"/>
      <c r="O28" s="501"/>
      <c r="P28" s="501"/>
      <c r="Q28" s="501"/>
      <c r="R28" s="501"/>
      <c r="S28" s="501"/>
      <c r="T28" s="501"/>
      <c r="U28" s="501"/>
      <c r="V28" s="501"/>
    </row>
    <row r="29" spans="1:22">
      <c r="A29" s="502"/>
      <c r="B29" s="502"/>
      <c r="C29" s="502"/>
      <c r="D29" s="502"/>
      <c r="E29" s="502"/>
      <c r="F29" s="502"/>
      <c r="G29" s="502"/>
      <c r="H29" s="502"/>
      <c r="I29" s="502"/>
      <c r="J29" s="502"/>
      <c r="K29" s="502"/>
      <c r="L29" s="502"/>
      <c r="M29" s="502"/>
      <c r="N29" s="502"/>
      <c r="O29" s="502"/>
      <c r="P29" s="502"/>
      <c r="Q29" s="502"/>
      <c r="R29" s="502"/>
      <c r="S29" s="502"/>
      <c r="T29" s="502"/>
      <c r="U29" s="502"/>
      <c r="V29" s="502"/>
    </row>
    <row r="30" spans="1:22" s="481" customFormat="1">
      <c r="A30" s="2035" t="s">
        <v>295</v>
      </c>
      <c r="B30" s="2037" t="s">
        <v>296</v>
      </c>
      <c r="C30" s="487" t="s">
        <v>346</v>
      </c>
      <c r="D30" s="488"/>
      <c r="E30" s="488"/>
      <c r="F30" s="488"/>
      <c r="G30" s="488"/>
      <c r="H30" s="488"/>
      <c r="I30" s="488"/>
      <c r="J30" s="488"/>
      <c r="K30" s="488"/>
      <c r="L30" s="488"/>
      <c r="M30" s="488"/>
      <c r="N30" s="488"/>
      <c r="O30" s="488"/>
      <c r="P30" s="488"/>
      <c r="Q30" s="488"/>
      <c r="R30" s="488"/>
      <c r="S30" s="488"/>
      <c r="T30" s="488"/>
      <c r="U30" s="488"/>
      <c r="V30" s="489"/>
    </row>
    <row r="31" spans="1:22" s="481" customFormat="1" ht="60.75" customHeight="1">
      <c r="A31" s="2036"/>
      <c r="B31" s="2038"/>
      <c r="C31" s="490" t="s">
        <v>347</v>
      </c>
      <c r="D31" s="490"/>
      <c r="E31" s="492"/>
      <c r="F31" s="490"/>
      <c r="G31" s="491"/>
      <c r="H31" s="503"/>
      <c r="I31" s="503"/>
      <c r="J31" s="504" t="s">
        <v>348</v>
      </c>
      <c r="K31" s="504"/>
      <c r="L31" s="504"/>
      <c r="M31" s="504"/>
      <c r="N31" s="504"/>
      <c r="O31" s="503"/>
      <c r="P31" s="503"/>
      <c r="Q31" s="503"/>
      <c r="R31" s="503" t="s">
        <v>349</v>
      </c>
      <c r="S31" s="503"/>
      <c r="T31" s="503"/>
      <c r="U31" s="503"/>
      <c r="V31" s="503"/>
    </row>
    <row r="32" spans="1:22" ht="20.100000000000001" customHeight="1">
      <c r="A32" s="476">
        <v>1</v>
      </c>
      <c r="B32" s="477">
        <v>900</v>
      </c>
      <c r="C32" s="476">
        <v>0</v>
      </c>
      <c r="D32" s="476">
        <v>2</v>
      </c>
      <c r="E32" s="476">
        <v>0</v>
      </c>
      <c r="F32" s="476">
        <v>0</v>
      </c>
      <c r="G32" s="476">
        <v>2</v>
      </c>
      <c r="H32" s="476">
        <v>8</v>
      </c>
      <c r="I32" s="476">
        <v>8</v>
      </c>
      <c r="J32" s="478">
        <v>1</v>
      </c>
      <c r="K32" s="478">
        <v>0</v>
      </c>
      <c r="L32" s="478">
        <v>0</v>
      </c>
      <c r="M32" s="478">
        <v>5</v>
      </c>
      <c r="N32" s="478">
        <v>2</v>
      </c>
      <c r="O32" s="478">
        <v>0</v>
      </c>
      <c r="P32" s="478">
        <v>1</v>
      </c>
      <c r="Q32" s="478">
        <v>9</v>
      </c>
      <c r="R32" s="475">
        <v>0</v>
      </c>
      <c r="S32" s="475">
        <v>0</v>
      </c>
      <c r="T32" s="475">
        <v>0</v>
      </c>
      <c r="U32" s="475">
        <v>0</v>
      </c>
      <c r="V32" s="475">
        <v>3</v>
      </c>
    </row>
    <row r="33" spans="1:22" ht="20.100000000000001" customHeight="1">
      <c r="A33" s="476">
        <v>2</v>
      </c>
      <c r="B33" s="477">
        <f>B32</f>
        <v>900</v>
      </c>
      <c r="C33" s="476">
        <v>0</v>
      </c>
      <c r="D33" s="476">
        <v>2</v>
      </c>
      <c r="E33" s="476">
        <v>0</v>
      </c>
      <c r="F33" s="476">
        <v>0</v>
      </c>
      <c r="G33" s="476">
        <v>2</v>
      </c>
      <c r="H33" s="476">
        <v>8</v>
      </c>
      <c r="I33" s="476">
        <v>8</v>
      </c>
      <c r="J33" s="478">
        <v>0</v>
      </c>
      <c r="K33" s="478">
        <v>6</v>
      </c>
      <c r="L33" s="478">
        <v>0</v>
      </c>
      <c r="M33" s="478">
        <v>6</v>
      </c>
      <c r="N33" s="478">
        <v>2</v>
      </c>
      <c r="O33" s="478">
        <v>0</v>
      </c>
      <c r="P33" s="478">
        <v>1</v>
      </c>
      <c r="Q33" s="478">
        <v>9</v>
      </c>
      <c r="R33" s="475">
        <v>0</v>
      </c>
      <c r="S33" s="475">
        <v>0</v>
      </c>
      <c r="T33" s="475">
        <v>0</v>
      </c>
      <c r="U33" s="475">
        <v>0</v>
      </c>
      <c r="V33" s="475">
        <v>9</v>
      </c>
    </row>
    <row r="34" spans="1:22" ht="20.100000000000001" customHeight="1">
      <c r="A34" s="476">
        <v>3</v>
      </c>
      <c r="B34" s="477">
        <f t="shared" ref="B34:B42" si="0">B33</f>
        <v>900</v>
      </c>
      <c r="C34" s="476">
        <v>0</v>
      </c>
      <c r="D34" s="476">
        <v>2</v>
      </c>
      <c r="E34" s="476">
        <v>0</v>
      </c>
      <c r="F34" s="476">
        <v>0</v>
      </c>
      <c r="G34" s="476">
        <v>2</v>
      </c>
      <c r="H34" s="476">
        <v>8</v>
      </c>
      <c r="I34" s="476">
        <v>8</v>
      </c>
      <c r="J34" s="478">
        <v>1</v>
      </c>
      <c r="K34" s="478">
        <v>1</v>
      </c>
      <c r="L34" s="478">
        <v>0</v>
      </c>
      <c r="M34" s="478">
        <v>7</v>
      </c>
      <c r="N34" s="478">
        <v>2</v>
      </c>
      <c r="O34" s="478">
        <v>0</v>
      </c>
      <c r="P34" s="478">
        <v>1</v>
      </c>
      <c r="Q34" s="478">
        <v>9</v>
      </c>
      <c r="R34" s="475">
        <v>0</v>
      </c>
      <c r="S34" s="475">
        <v>0</v>
      </c>
      <c r="T34" s="475">
        <v>0</v>
      </c>
      <c r="U34" s="475">
        <v>2</v>
      </c>
      <c r="V34" s="475">
        <v>0</v>
      </c>
    </row>
    <row r="35" spans="1:22" ht="20.100000000000001" customHeight="1">
      <c r="A35" s="476">
        <v>4</v>
      </c>
      <c r="B35" s="477">
        <f t="shared" si="0"/>
        <v>900</v>
      </c>
      <c r="C35" s="476">
        <v>0</v>
      </c>
      <c r="D35" s="476">
        <v>2</v>
      </c>
      <c r="E35" s="476">
        <v>0</v>
      </c>
      <c r="F35" s="476">
        <v>0</v>
      </c>
      <c r="G35" s="476">
        <v>2</v>
      </c>
      <c r="H35" s="476">
        <v>8</v>
      </c>
      <c r="I35" s="476">
        <v>8</v>
      </c>
      <c r="J35" s="478">
        <v>0</v>
      </c>
      <c r="K35" s="478">
        <v>3</v>
      </c>
      <c r="L35" s="478">
        <v>0</v>
      </c>
      <c r="M35" s="478">
        <v>8</v>
      </c>
      <c r="N35" s="478">
        <v>2</v>
      </c>
      <c r="O35" s="478">
        <v>0</v>
      </c>
      <c r="P35" s="478">
        <v>1</v>
      </c>
      <c r="Q35" s="478">
        <v>9</v>
      </c>
      <c r="R35" s="475">
        <v>0</v>
      </c>
      <c r="S35" s="475">
        <v>0</v>
      </c>
      <c r="T35" s="475">
        <v>0</v>
      </c>
      <c r="U35" s="475">
        <v>0</v>
      </c>
      <c r="V35" s="475">
        <v>7</v>
      </c>
    </row>
    <row r="36" spans="1:22" ht="20.100000000000001" customHeight="1">
      <c r="A36" s="476">
        <v>5</v>
      </c>
      <c r="B36" s="477">
        <f t="shared" si="0"/>
        <v>900</v>
      </c>
      <c r="C36" s="476">
        <v>0</v>
      </c>
      <c r="D36" s="476">
        <v>2</v>
      </c>
      <c r="E36" s="476">
        <v>0</v>
      </c>
      <c r="F36" s="476">
        <v>0</v>
      </c>
      <c r="G36" s="476">
        <v>2</v>
      </c>
      <c r="H36" s="476">
        <v>8</v>
      </c>
      <c r="I36" s="476">
        <v>8</v>
      </c>
      <c r="J36" s="478">
        <v>0</v>
      </c>
      <c r="K36" s="478">
        <v>4</v>
      </c>
      <c r="L36" s="478">
        <v>0</v>
      </c>
      <c r="M36" s="478">
        <v>9</v>
      </c>
      <c r="N36" s="478">
        <v>2</v>
      </c>
      <c r="O36" s="478">
        <v>0</v>
      </c>
      <c r="P36" s="478">
        <v>1</v>
      </c>
      <c r="Q36" s="478">
        <v>9</v>
      </c>
      <c r="R36" s="475">
        <v>0</v>
      </c>
      <c r="S36" s="475">
        <v>0</v>
      </c>
      <c r="T36" s="475">
        <v>0</v>
      </c>
      <c r="U36" s="475">
        <v>0</v>
      </c>
      <c r="V36" s="475">
        <v>8</v>
      </c>
    </row>
    <row r="37" spans="1:22" ht="20.100000000000001" customHeight="1">
      <c r="A37" s="476">
        <v>6</v>
      </c>
      <c r="B37" s="477">
        <f t="shared" si="0"/>
        <v>900</v>
      </c>
      <c r="C37" s="476">
        <v>0</v>
      </c>
      <c r="D37" s="476">
        <v>2</v>
      </c>
      <c r="E37" s="476">
        <v>0</v>
      </c>
      <c r="F37" s="476">
        <v>0</v>
      </c>
      <c r="G37" s="476">
        <v>2</v>
      </c>
      <c r="H37" s="476">
        <v>8</v>
      </c>
      <c r="I37" s="476">
        <v>8</v>
      </c>
      <c r="J37" s="478">
        <v>0</v>
      </c>
      <c r="K37" s="478">
        <v>8</v>
      </c>
      <c r="L37" s="478">
        <v>1</v>
      </c>
      <c r="M37" s="478">
        <v>0</v>
      </c>
      <c r="N37" s="478">
        <v>2</v>
      </c>
      <c r="O37" s="478">
        <v>0</v>
      </c>
      <c r="P37" s="478">
        <v>1</v>
      </c>
      <c r="Q37" s="478">
        <v>9</v>
      </c>
      <c r="R37" s="475">
        <v>0</v>
      </c>
      <c r="S37" s="475">
        <v>0</v>
      </c>
      <c r="T37" s="475">
        <v>0</v>
      </c>
      <c r="U37" s="475">
        <v>1</v>
      </c>
      <c r="V37" s="475">
        <v>2</v>
      </c>
    </row>
    <row r="38" spans="1:22" ht="20.100000000000001" customHeight="1">
      <c r="A38" s="476">
        <v>7</v>
      </c>
      <c r="B38" s="477">
        <f t="shared" si="0"/>
        <v>900</v>
      </c>
      <c r="C38" s="476">
        <v>0</v>
      </c>
      <c r="D38" s="476">
        <v>2</v>
      </c>
      <c r="E38" s="476">
        <v>0</v>
      </c>
      <c r="F38" s="476">
        <v>0</v>
      </c>
      <c r="G38" s="476">
        <v>2</v>
      </c>
      <c r="H38" s="476">
        <v>8</v>
      </c>
      <c r="I38" s="476">
        <v>8</v>
      </c>
      <c r="J38" s="478">
        <v>0</v>
      </c>
      <c r="K38" s="478">
        <v>1</v>
      </c>
      <c r="L38" s="478">
        <v>1</v>
      </c>
      <c r="M38" s="478">
        <v>1</v>
      </c>
      <c r="N38" s="478">
        <v>2</v>
      </c>
      <c r="O38" s="478">
        <v>0</v>
      </c>
      <c r="P38" s="478">
        <v>1</v>
      </c>
      <c r="Q38" s="478">
        <v>9</v>
      </c>
      <c r="R38" s="475">
        <v>0</v>
      </c>
      <c r="S38" s="475">
        <v>0</v>
      </c>
      <c r="T38" s="475">
        <v>0</v>
      </c>
      <c r="U38" s="475">
        <v>1</v>
      </c>
      <c r="V38" s="475">
        <v>5</v>
      </c>
    </row>
    <row r="39" spans="1:22" ht="20.100000000000001" customHeight="1">
      <c r="A39" s="476">
        <v>8</v>
      </c>
      <c r="B39" s="477">
        <f t="shared" si="0"/>
        <v>900</v>
      </c>
      <c r="C39" s="476">
        <v>0</v>
      </c>
      <c r="D39" s="476">
        <v>2</v>
      </c>
      <c r="E39" s="476">
        <v>0</v>
      </c>
      <c r="F39" s="476">
        <v>0</v>
      </c>
      <c r="G39" s="476">
        <v>2</v>
      </c>
      <c r="H39" s="476">
        <v>8</v>
      </c>
      <c r="I39" s="476">
        <v>8</v>
      </c>
      <c r="J39" s="478">
        <v>0</v>
      </c>
      <c r="K39" s="478">
        <v>3</v>
      </c>
      <c r="L39" s="478">
        <v>1</v>
      </c>
      <c r="M39" s="478">
        <v>2</v>
      </c>
      <c r="N39" s="478">
        <v>2</v>
      </c>
      <c r="O39" s="478">
        <v>0</v>
      </c>
      <c r="P39" s="478">
        <v>1</v>
      </c>
      <c r="Q39" s="478">
        <v>9</v>
      </c>
      <c r="R39" s="475">
        <v>0</v>
      </c>
      <c r="S39" s="475">
        <v>0</v>
      </c>
      <c r="T39" s="475">
        <v>0</v>
      </c>
      <c r="U39" s="475">
        <v>0</v>
      </c>
      <c r="V39" s="475">
        <v>1</v>
      </c>
    </row>
    <row r="40" spans="1:22" ht="20.100000000000001" customHeight="1">
      <c r="A40" s="476">
        <v>9</v>
      </c>
      <c r="B40" s="477">
        <v>900</v>
      </c>
      <c r="C40" s="476">
        <v>0</v>
      </c>
      <c r="D40" s="476">
        <v>2</v>
      </c>
      <c r="E40" s="476">
        <v>0</v>
      </c>
      <c r="F40" s="476">
        <v>0</v>
      </c>
      <c r="G40" s="476">
        <v>2</v>
      </c>
      <c r="H40" s="476">
        <v>8</v>
      </c>
      <c r="I40" s="476">
        <v>8</v>
      </c>
      <c r="J40" s="478">
        <v>0</v>
      </c>
      <c r="K40" s="478">
        <v>3</v>
      </c>
      <c r="L40" s="478">
        <v>0</v>
      </c>
      <c r="M40" s="478">
        <v>1</v>
      </c>
      <c r="N40" s="478">
        <v>2</v>
      </c>
      <c r="O40" s="478">
        <v>0</v>
      </c>
      <c r="P40" s="478">
        <v>1</v>
      </c>
      <c r="Q40" s="478">
        <v>9</v>
      </c>
      <c r="R40" s="475">
        <v>0</v>
      </c>
      <c r="S40" s="475">
        <v>0</v>
      </c>
      <c r="T40" s="475">
        <v>0</v>
      </c>
      <c r="U40" s="475">
        <v>1</v>
      </c>
      <c r="V40" s="475">
        <v>7</v>
      </c>
    </row>
    <row r="41" spans="1:22" ht="20.100000000000001" customHeight="1">
      <c r="A41" s="476">
        <v>10</v>
      </c>
      <c r="B41" s="477">
        <v>2500</v>
      </c>
      <c r="C41" s="476">
        <v>0</v>
      </c>
      <c r="D41" s="476">
        <v>2</v>
      </c>
      <c r="E41" s="476">
        <v>0</v>
      </c>
      <c r="F41" s="476">
        <v>0</v>
      </c>
      <c r="G41" s="476">
        <v>2</v>
      </c>
      <c r="H41" s="476">
        <v>8</v>
      </c>
      <c r="I41" s="476">
        <v>8</v>
      </c>
      <c r="J41" s="478">
        <v>0</v>
      </c>
      <c r="K41" s="478">
        <v>6</v>
      </c>
      <c r="L41" s="478">
        <v>0</v>
      </c>
      <c r="M41" s="478">
        <v>2</v>
      </c>
      <c r="N41" s="478">
        <v>2</v>
      </c>
      <c r="O41" s="478">
        <v>0</v>
      </c>
      <c r="P41" s="478">
        <v>1</v>
      </c>
      <c r="Q41" s="478">
        <v>9</v>
      </c>
      <c r="R41" s="475">
        <v>0</v>
      </c>
      <c r="S41" s="475">
        <v>0</v>
      </c>
      <c r="T41" s="475">
        <v>0</v>
      </c>
      <c r="U41" s="475">
        <v>1</v>
      </c>
      <c r="V41" s="475">
        <v>2</v>
      </c>
    </row>
    <row r="42" spans="1:22" ht="20.100000000000001" customHeight="1">
      <c r="A42" s="476">
        <v>11</v>
      </c>
      <c r="B42" s="477">
        <f t="shared" si="0"/>
        <v>2500</v>
      </c>
      <c r="C42" s="476">
        <v>0</v>
      </c>
      <c r="D42" s="476">
        <v>2</v>
      </c>
      <c r="E42" s="476">
        <v>0</v>
      </c>
      <c r="F42" s="476">
        <v>0</v>
      </c>
      <c r="G42" s="476">
        <v>2</v>
      </c>
      <c r="H42" s="476">
        <v>8</v>
      </c>
      <c r="I42" s="476">
        <v>8</v>
      </c>
      <c r="J42" s="478">
        <v>0</v>
      </c>
      <c r="K42" s="478">
        <v>4</v>
      </c>
      <c r="L42" s="478">
        <v>0</v>
      </c>
      <c r="M42" s="478">
        <v>3</v>
      </c>
      <c r="N42" s="478">
        <v>2</v>
      </c>
      <c r="O42" s="478">
        <v>0</v>
      </c>
      <c r="P42" s="478">
        <v>1</v>
      </c>
      <c r="Q42" s="478">
        <v>9</v>
      </c>
      <c r="R42" s="475">
        <v>0</v>
      </c>
      <c r="S42" s="475">
        <v>0</v>
      </c>
      <c r="T42" s="475">
        <v>0</v>
      </c>
      <c r="U42" s="475">
        <v>1</v>
      </c>
      <c r="V42" s="475">
        <v>3</v>
      </c>
    </row>
    <row r="43" spans="1:22" ht="20.100000000000001" customHeight="1">
      <c r="A43" s="476">
        <v>12</v>
      </c>
      <c r="B43" s="477">
        <v>3045</v>
      </c>
      <c r="C43" s="476">
        <v>0</v>
      </c>
      <c r="D43" s="476">
        <v>2</v>
      </c>
      <c r="E43" s="476">
        <v>0</v>
      </c>
      <c r="F43" s="476">
        <v>0</v>
      </c>
      <c r="G43" s="476">
        <v>2</v>
      </c>
      <c r="H43" s="476">
        <v>8</v>
      </c>
      <c r="I43" s="476">
        <v>8</v>
      </c>
      <c r="J43" s="478">
        <v>0</v>
      </c>
      <c r="K43" s="478">
        <v>4</v>
      </c>
      <c r="L43" s="478">
        <v>0</v>
      </c>
      <c r="M43" s="478">
        <v>3</v>
      </c>
      <c r="N43" s="478">
        <v>2</v>
      </c>
      <c r="O43" s="478">
        <v>0</v>
      </c>
      <c r="P43" s="478">
        <v>2</v>
      </c>
      <c r="Q43" s="475">
        <v>0</v>
      </c>
      <c r="R43" s="475">
        <v>0</v>
      </c>
      <c r="S43" s="475">
        <v>0</v>
      </c>
      <c r="T43" s="475">
        <v>0</v>
      </c>
      <c r="U43" s="475">
        <v>1</v>
      </c>
      <c r="V43" s="475">
        <v>5</v>
      </c>
    </row>
    <row r="44" spans="1:22" ht="20.100000000000001" customHeight="1">
      <c r="A44" s="479"/>
      <c r="B44" s="480"/>
      <c r="C44" s="475"/>
      <c r="D44" s="475"/>
      <c r="E44" s="475"/>
      <c r="F44" s="475"/>
      <c r="G44" s="475"/>
      <c r="H44" s="475"/>
      <c r="I44" s="475"/>
      <c r="J44" s="475"/>
      <c r="K44" s="475"/>
      <c r="L44" s="475"/>
      <c r="M44" s="475"/>
      <c r="N44" s="475"/>
      <c r="O44" s="475"/>
      <c r="P44" s="475"/>
      <c r="Q44" s="475"/>
      <c r="R44" s="475"/>
      <c r="S44" s="475"/>
      <c r="T44" s="475"/>
      <c r="U44" s="475"/>
      <c r="V44" s="475"/>
    </row>
    <row r="45" spans="1:22" ht="20.100000000000001" customHeight="1">
      <c r="A45" s="479"/>
      <c r="B45" s="480"/>
      <c r="C45" s="476"/>
      <c r="D45" s="476"/>
      <c r="E45" s="476"/>
      <c r="F45" s="476"/>
      <c r="G45" s="476"/>
      <c r="H45" s="476"/>
      <c r="I45" s="476"/>
      <c r="J45" s="475"/>
      <c r="K45" s="475"/>
      <c r="L45" s="475"/>
      <c r="M45" s="475"/>
      <c r="N45" s="475"/>
      <c r="O45" s="475"/>
      <c r="P45" s="475"/>
      <c r="Q45" s="475"/>
      <c r="R45" s="475"/>
      <c r="S45" s="475"/>
      <c r="T45" s="475"/>
      <c r="U45" s="475"/>
      <c r="V45" s="475"/>
    </row>
    <row r="46" spans="1:22" ht="20.100000000000001" customHeight="1">
      <c r="A46" s="479"/>
      <c r="B46" s="480"/>
      <c r="C46" s="476"/>
      <c r="D46" s="476"/>
      <c r="E46" s="476"/>
      <c r="F46" s="476"/>
      <c r="G46" s="476"/>
      <c r="H46" s="476"/>
      <c r="I46" s="476"/>
      <c r="J46" s="475"/>
      <c r="K46" s="475"/>
      <c r="L46" s="475"/>
      <c r="M46" s="475"/>
      <c r="N46" s="475"/>
      <c r="O46" s="475"/>
      <c r="P46" s="475"/>
      <c r="Q46" s="475"/>
      <c r="R46" s="475"/>
      <c r="S46" s="475"/>
      <c r="T46" s="475"/>
      <c r="U46" s="475"/>
      <c r="V46" s="475"/>
    </row>
    <row r="47" spans="1:22" ht="20.100000000000001" customHeight="1">
      <c r="A47" s="505" t="s">
        <v>70</v>
      </c>
      <c r="B47" s="494">
        <f>SUM(B32:B46)</f>
        <v>16145</v>
      </c>
      <c r="C47" s="506"/>
      <c r="D47" s="507"/>
      <c r="E47" s="507"/>
      <c r="F47" s="507"/>
      <c r="G47" s="507"/>
      <c r="H47" s="507"/>
      <c r="I47" s="507"/>
      <c r="J47" s="507"/>
      <c r="K47" s="507"/>
      <c r="L47" s="507"/>
      <c r="M47" s="507"/>
      <c r="N47" s="507"/>
      <c r="O47" s="507"/>
      <c r="P47" s="507"/>
      <c r="Q47" s="507"/>
      <c r="R47" s="507"/>
      <c r="S47" s="507"/>
      <c r="T47" s="507"/>
      <c r="U47" s="507"/>
      <c r="V47" s="508"/>
    </row>
    <row r="48" spans="1:22"/>
    <row r="49" spans="1:2">
      <c r="A49" s="483" t="s">
        <v>350</v>
      </c>
      <c r="B49" s="483" t="s">
        <v>351</v>
      </c>
    </row>
    <row r="50" spans="1:2"/>
    <row r="51" spans="1:2"/>
    <row r="52" spans="1:2"/>
    <row r="53" spans="1:2">
      <c r="A53" s="483" t="s">
        <v>304</v>
      </c>
      <c r="B53" s="498" t="s">
        <v>406</v>
      </c>
    </row>
    <row r="54" spans="1:2"/>
    <row r="55" spans="1:2"/>
  </sheetData>
  <sheetProtection formatCells="0" formatColumns="0" formatRows="0" insertRows="0"/>
  <mergeCells count="7">
    <mergeCell ref="A30:A31"/>
    <mergeCell ref="B30:B31"/>
    <mergeCell ref="F1:V1"/>
    <mergeCell ref="A5:A6"/>
    <mergeCell ref="B5:B6"/>
    <mergeCell ref="J6:N6"/>
    <mergeCell ref="A1:D1"/>
  </mergeCells>
  <phoneticPr fontId="111" type="noConversion"/>
  <dataValidations disablePrompts="1" count="3">
    <dataValidation errorStyle="information" allowBlank="1" showInputMessage="1" showErrorMessage="1" sqref="C44:I44 C19:I19"/>
    <dataValidation type="whole" allowBlank="1" showInputMessage="1" showErrorMessage="1" prompt="Enter in each column figures between &quot;0 and 9&quot;" sqref="C32:I43 C45:I46 J32:V46 C7:I18 C20:I21 J7:V21">
      <formula1>0</formula1>
      <formula2>9</formula2>
    </dataValidation>
    <dataValidation type="whole" operator="greaterThan" allowBlank="1" showInputMessage="1" showErrorMessage="1" prompt="Type only whole numbers" sqref="B7:B21 B44:B46">
      <formula1>0</formula1>
    </dataValidation>
  </dataValidations>
  <hyperlinks>
    <hyperlink ref="A1" location="BACK2" display="BACK2"/>
  </hyperlinks>
  <printOptions horizontalCentered="1"/>
  <pageMargins left="0.7" right="0.7" top="0.75" bottom="0.75" header="0.5" footer="0.5"/>
  <pageSetup paperSize="9" orientation="landscape" horizontalDpi="1200" verticalDpi="1200" r:id="rId1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  <rowBreaks count="1" manualBreakCount="1">
    <brk id="25" max="21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indexed="39"/>
    <pageSetUpPr fitToPage="1"/>
  </sheetPr>
  <dimension ref="A1:IR42"/>
  <sheetViews>
    <sheetView showGridLines="0" showRowColHeaders="0" zoomScaleNormal="85" workbookViewId="0">
      <pane ySplit="2" topLeftCell="A3" activePane="bottomLeft" state="frozen"/>
      <selection pane="bottomLeft" activeCell="A3" sqref="A3"/>
    </sheetView>
  </sheetViews>
  <sheetFormatPr defaultColWidth="0" defaultRowHeight="12.75" zeroHeight="1"/>
  <cols>
    <col min="1" max="1" width="9.75" style="88" customWidth="1"/>
    <col min="2" max="2" width="9.625" style="88" customWidth="1"/>
    <col min="3" max="3" width="16.875" style="88" customWidth="1"/>
    <col min="4" max="4" width="1.125" style="88" customWidth="1"/>
    <col min="5" max="5" width="10" style="88" customWidth="1"/>
    <col min="6" max="6" width="17.125" style="88" customWidth="1"/>
    <col min="7" max="7" width="10.375" style="88" customWidth="1"/>
    <col min="8" max="8" width="24.875" style="88" customWidth="1"/>
    <col min="9" max="9" width="8.375" style="88" customWidth="1"/>
    <col min="10" max="10" width="10.125" style="88" customWidth="1"/>
    <col min="11" max="11" width="3.625" style="88" customWidth="1"/>
    <col min="12" max="12" width="3.375" style="88" customWidth="1"/>
    <col min="13" max="16" width="0" style="93" hidden="1" customWidth="1"/>
    <col min="17" max="17" width="53" style="93" hidden="1" customWidth="1"/>
    <col min="18" max="252" width="0" style="93" hidden="1" customWidth="1"/>
    <col min="253" max="16384" width="0" style="25" hidden="1"/>
  </cols>
  <sheetData>
    <row r="1" spans="1:17" s="11" customFormat="1" ht="24" customHeight="1">
      <c r="A1" s="1241" t="s">
        <v>90</v>
      </c>
      <c r="B1" s="1241"/>
      <c r="C1" s="1241"/>
      <c r="D1" s="1241"/>
      <c r="E1" s="1241"/>
      <c r="F1" s="159" t="s">
        <v>6</v>
      </c>
      <c r="G1" s="159"/>
      <c r="H1" s="159"/>
      <c r="I1" s="159"/>
      <c r="J1" s="159"/>
      <c r="K1" s="159"/>
      <c r="L1" s="159"/>
      <c r="M1" s="10"/>
      <c r="N1" s="10"/>
      <c r="O1" s="10"/>
      <c r="P1" s="10"/>
      <c r="Q1" s="10"/>
    </row>
    <row r="2" spans="1:17" s="15" customFormat="1" ht="21" customHeight="1">
      <c r="A2" s="12"/>
      <c r="B2" s="13" t="s">
        <v>91</v>
      </c>
      <c r="C2" s="115">
        <v>44256</v>
      </c>
      <c r="D2" s="76"/>
      <c r="E2" s="116">
        <v>44562</v>
      </c>
      <c r="F2" s="13" t="s">
        <v>75</v>
      </c>
      <c r="G2" s="115">
        <v>44562</v>
      </c>
      <c r="H2" s="562">
        <v>45119</v>
      </c>
      <c r="I2" s="156"/>
      <c r="J2" s="156"/>
      <c r="K2" s="156"/>
      <c r="L2" s="112" t="s">
        <v>26</v>
      </c>
      <c r="M2" s="14"/>
      <c r="N2" s="14"/>
      <c r="O2" s="14"/>
      <c r="P2" s="14"/>
      <c r="Q2" s="14"/>
    </row>
    <row r="3" spans="1:17" s="11" customFormat="1" ht="15" customHeight="1">
      <c r="A3" s="16"/>
      <c r="B3" s="16"/>
      <c r="C3" s="90"/>
      <c r="D3" s="90"/>
      <c r="E3" s="91" t="s">
        <v>92</v>
      </c>
      <c r="F3" s="92"/>
      <c r="G3" s="90"/>
      <c r="H3" s="122" t="s">
        <v>142</v>
      </c>
      <c r="I3" s="16"/>
      <c r="J3" s="16"/>
      <c r="K3" s="16"/>
      <c r="L3" s="16"/>
    </row>
    <row r="4" spans="1:17" s="19" customFormat="1" ht="3.75" customHeight="1">
      <c r="A4" s="17"/>
      <c r="B4" s="17"/>
      <c r="C4" s="18"/>
      <c r="D4" s="18"/>
      <c r="E4" s="17"/>
      <c r="F4" s="17"/>
      <c r="G4" s="17"/>
      <c r="H4" s="17"/>
      <c r="I4" s="17"/>
      <c r="J4" s="17"/>
      <c r="K4" s="45"/>
      <c r="L4" s="17"/>
    </row>
    <row r="5" spans="1:17" s="20" customFormat="1" ht="21" customHeight="1">
      <c r="A5" s="30" t="str">
        <f>UPPER(H5)</f>
        <v>GENERAL</v>
      </c>
      <c r="B5" s="909">
        <f>SEARCH("R",H5)</f>
        <v>5</v>
      </c>
      <c r="C5" s="18"/>
      <c r="D5" s="18"/>
      <c r="E5" s="966" t="s">
        <v>546</v>
      </c>
      <c r="F5" s="161"/>
      <c r="G5" s="439"/>
      <c r="H5" s="961" t="str">
        <f>I5</f>
        <v>GENERAL</v>
      </c>
      <c r="I5" s="1237" t="s">
        <v>409</v>
      </c>
      <c r="J5" s="1237"/>
      <c r="K5" s="1237"/>
      <c r="L5" s="108"/>
    </row>
    <row r="6" spans="1:17" s="20" customFormat="1" ht="21" customHeight="1">
      <c r="A6" s="30" t="str">
        <f>UPPER(H6)</f>
        <v>NO</v>
      </c>
      <c r="B6" s="30">
        <f>IF(M50="No",0,IF(V26&gt;=40000,40000,V26))</f>
        <v>0</v>
      </c>
      <c r="C6" s="968"/>
      <c r="D6" s="18"/>
      <c r="E6" s="161" t="s">
        <v>548</v>
      </c>
      <c r="F6" s="161"/>
      <c r="G6" s="439"/>
      <c r="H6" s="961" t="str">
        <f>I6</f>
        <v>NO</v>
      </c>
      <c r="I6" s="958" t="s">
        <v>547</v>
      </c>
      <c r="J6" s="967"/>
      <c r="K6" s="967"/>
      <c r="L6" s="108"/>
    </row>
    <row r="7" spans="1:17" s="20" customFormat="1" ht="21" customHeight="1">
      <c r="A7" s="30" t="str">
        <f>UPPER(H7)</f>
        <v>SHRI K J PATEL</v>
      </c>
      <c r="B7" s="30"/>
      <c r="C7" s="18" t="s">
        <v>33</v>
      </c>
      <c r="D7" s="18"/>
      <c r="E7" s="160" t="s">
        <v>79</v>
      </c>
      <c r="F7" s="161"/>
      <c r="G7" s="162"/>
      <c r="H7" s="106" t="s">
        <v>79</v>
      </c>
      <c r="I7" s="962"/>
      <c r="J7" s="963"/>
      <c r="K7" s="963" t="s">
        <v>300</v>
      </c>
      <c r="L7" s="963"/>
    </row>
    <row r="8" spans="1:17" s="20" customFormat="1" ht="21" customHeight="1">
      <c r="A8" s="30" t="str">
        <f>UPPER(H8)</f>
        <v>KIRITCHANDRA JAYANTILAL PATEL</v>
      </c>
      <c r="B8" s="30"/>
      <c r="C8" s="18" t="s">
        <v>34</v>
      </c>
      <c r="D8" s="18"/>
      <c r="E8" s="160" t="s">
        <v>107</v>
      </c>
      <c r="F8" s="161"/>
      <c r="G8" s="162"/>
      <c r="H8" s="106" t="s">
        <v>107</v>
      </c>
      <c r="I8" s="962"/>
      <c r="J8" s="963"/>
      <c r="K8" s="963" t="s">
        <v>301</v>
      </c>
      <c r="L8" s="963"/>
    </row>
    <row r="9" spans="1:17" s="20" customFormat="1" ht="21" customHeight="1">
      <c r="A9" s="30" t="str">
        <f>UPPER(H9)</f>
        <v>JAYANTILAL RATILAL PATEL</v>
      </c>
      <c r="B9" s="30"/>
      <c r="C9" s="18" t="s">
        <v>35</v>
      </c>
      <c r="D9" s="18"/>
      <c r="E9" s="985" t="s">
        <v>108</v>
      </c>
      <c r="F9" s="966"/>
      <c r="G9" s="162"/>
      <c r="H9" s="106" t="s">
        <v>108</v>
      </c>
      <c r="I9" s="962"/>
      <c r="J9" s="963" t="s">
        <v>441</v>
      </c>
      <c r="K9" s="963"/>
      <c r="L9" s="963"/>
    </row>
    <row r="10" spans="1:17" s="110" customFormat="1" ht="21" customHeight="1">
      <c r="A10" s="109"/>
      <c r="B10" s="109"/>
      <c r="C10" s="97" t="s">
        <v>44</v>
      </c>
      <c r="D10" s="74"/>
      <c r="E10" s="985" t="s">
        <v>562</v>
      </c>
      <c r="F10" s="986"/>
      <c r="G10" s="163"/>
      <c r="H10" s="102" t="s">
        <v>318</v>
      </c>
      <c r="I10" s="964"/>
      <c r="J10" s="965" t="s">
        <v>547</v>
      </c>
      <c r="K10" s="965"/>
      <c r="L10" s="965"/>
    </row>
    <row r="11" spans="1:17" s="110" customFormat="1" ht="21" customHeight="1">
      <c r="A11" s="109"/>
      <c r="B11" s="109"/>
      <c r="C11" s="97" t="s">
        <v>45</v>
      </c>
      <c r="D11" s="74"/>
      <c r="E11" s="985" t="s">
        <v>564</v>
      </c>
      <c r="F11" s="985"/>
      <c r="G11" s="164"/>
      <c r="H11" s="102" t="s">
        <v>319</v>
      </c>
      <c r="I11" s="959"/>
      <c r="J11" s="960"/>
      <c r="K11" s="960"/>
      <c r="L11" s="960"/>
    </row>
    <row r="12" spans="1:17" s="110" customFormat="1" ht="21" customHeight="1">
      <c r="A12" s="109"/>
      <c r="B12" s="109"/>
      <c r="C12" s="97" t="s">
        <v>46</v>
      </c>
      <c r="D12" s="74"/>
      <c r="E12" s="987" t="s">
        <v>563</v>
      </c>
      <c r="F12" s="985"/>
      <c r="G12" s="164"/>
      <c r="H12" s="102" t="s">
        <v>320</v>
      </c>
      <c r="I12" s="959"/>
      <c r="J12" s="960"/>
      <c r="K12" s="960"/>
      <c r="L12" s="960"/>
    </row>
    <row r="13" spans="1:17" s="20" customFormat="1" ht="21" customHeight="1">
      <c r="A13" s="30"/>
      <c r="B13" s="30"/>
      <c r="C13" s="97" t="s">
        <v>47</v>
      </c>
      <c r="D13" s="74"/>
      <c r="E13" s="985" t="s">
        <v>565</v>
      </c>
      <c r="F13" s="985"/>
      <c r="G13" s="164"/>
      <c r="H13" s="102" t="s">
        <v>321</v>
      </c>
      <c r="I13" s="959"/>
      <c r="J13" s="960"/>
      <c r="K13" s="960"/>
      <c r="L13" s="960"/>
    </row>
    <row r="14" spans="1:17" s="20" customFormat="1" ht="21" customHeight="1">
      <c r="A14" s="104"/>
      <c r="B14" s="104"/>
      <c r="C14" s="97" t="s">
        <v>48</v>
      </c>
      <c r="D14" s="74"/>
      <c r="E14" s="985" t="s">
        <v>566</v>
      </c>
      <c r="F14" s="985"/>
      <c r="G14" s="164"/>
      <c r="H14" s="102" t="s">
        <v>188</v>
      </c>
      <c r="I14" s="101"/>
      <c r="J14" s="94"/>
      <c r="K14" s="94"/>
      <c r="L14" s="94"/>
    </row>
    <row r="15" spans="1:17" s="20" customFormat="1" ht="21" customHeight="1">
      <c r="A15" s="104"/>
      <c r="B15" s="104"/>
      <c r="C15" s="97" t="s">
        <v>49</v>
      </c>
      <c r="D15" s="74"/>
      <c r="E15" s="1243" t="s">
        <v>189</v>
      </c>
      <c r="F15" s="1243"/>
      <c r="G15" s="162"/>
      <c r="H15" s="102" t="s">
        <v>189</v>
      </c>
      <c r="I15" s="101"/>
      <c r="J15" s="94"/>
      <c r="K15" s="94"/>
      <c r="L15" s="94"/>
    </row>
    <row r="16" spans="1:17" s="20" customFormat="1" ht="21" customHeight="1">
      <c r="A16" s="104"/>
      <c r="B16" s="104"/>
      <c r="C16" s="97" t="s">
        <v>50</v>
      </c>
      <c r="D16" s="74"/>
      <c r="E16" s="1243">
        <v>390013</v>
      </c>
      <c r="F16" s="1243"/>
      <c r="G16" s="164"/>
      <c r="H16" s="102">
        <v>394710</v>
      </c>
      <c r="I16" s="101"/>
      <c r="J16" s="94"/>
      <c r="K16" s="94"/>
      <c r="L16" s="94"/>
    </row>
    <row r="17" spans="1:17" s="20" customFormat="1" ht="21" customHeight="1">
      <c r="A17" s="30"/>
      <c r="B17" s="104"/>
      <c r="C17" s="18" t="s">
        <v>36</v>
      </c>
      <c r="D17" s="18"/>
      <c r="E17" s="1242">
        <v>22310</v>
      </c>
      <c r="F17" s="1242"/>
      <c r="G17" s="162"/>
      <c r="H17" s="117" t="s">
        <v>322</v>
      </c>
      <c r="I17" s="118"/>
      <c r="J17" s="119"/>
      <c r="K17" s="87"/>
      <c r="L17" s="87"/>
    </row>
    <row r="18" spans="1:17" s="20" customFormat="1" ht="21" customHeight="1">
      <c r="A18" s="30" t="str">
        <f>UPPER(H18)</f>
        <v>RETIRED PS 2 DDO DANGS</v>
      </c>
      <c r="B18" s="30"/>
      <c r="C18" s="18" t="s">
        <v>37</v>
      </c>
      <c r="D18" s="18"/>
      <c r="E18" s="966" t="s">
        <v>569</v>
      </c>
      <c r="F18" s="966"/>
      <c r="G18" s="162"/>
      <c r="H18" s="106" t="s">
        <v>568</v>
      </c>
      <c r="I18" s="107"/>
      <c r="J18" s="108"/>
      <c r="K18" s="386" t="s">
        <v>327</v>
      </c>
      <c r="L18" s="108"/>
    </row>
    <row r="19" spans="1:17" s="20" customFormat="1" ht="21" customHeight="1">
      <c r="A19" s="30"/>
      <c r="B19" s="30" t="str">
        <f>UPPER(H19)</f>
        <v>ACFPP3047F</v>
      </c>
      <c r="C19" s="18" t="s">
        <v>51</v>
      </c>
      <c r="D19" s="18"/>
      <c r="E19" s="966" t="s">
        <v>2</v>
      </c>
      <c r="F19" s="966"/>
      <c r="G19" s="162"/>
      <c r="H19" s="106" t="s">
        <v>2</v>
      </c>
      <c r="I19" s="107"/>
      <c r="J19" s="108"/>
      <c r="K19" s="386" t="s">
        <v>409</v>
      </c>
      <c r="L19" s="108"/>
    </row>
    <row r="20" spans="1:17" s="20" customFormat="1" ht="21" customHeight="1">
      <c r="A20" s="30" t="str">
        <f>IF(H5="male","M","F")</f>
        <v>F</v>
      </c>
      <c r="B20" s="30" t="s">
        <v>507</v>
      </c>
      <c r="C20" s="18" t="s">
        <v>52</v>
      </c>
      <c r="D20" s="18"/>
      <c r="E20" s="966" t="s">
        <v>81</v>
      </c>
      <c r="F20" s="966"/>
      <c r="G20" s="165"/>
      <c r="H20" s="106" t="s">
        <v>81</v>
      </c>
      <c r="I20" s="107"/>
      <c r="J20" s="108"/>
      <c r="K20" s="386"/>
      <c r="L20" s="108"/>
    </row>
    <row r="21" spans="1:17" s="20" customFormat="1" ht="21" customHeight="1">
      <c r="A21" s="30" t="str">
        <f>UPPER(H24)</f>
        <v xml:space="preserve">ACCOUNT OFFICER </v>
      </c>
      <c r="B21" s="103"/>
      <c r="C21" s="18" t="s">
        <v>53</v>
      </c>
      <c r="D21" s="18"/>
      <c r="E21" s="966" t="s">
        <v>203</v>
      </c>
      <c r="F21" s="966"/>
      <c r="G21" s="162"/>
      <c r="H21" s="106" t="s">
        <v>469</v>
      </c>
      <c r="I21" s="107"/>
      <c r="J21" s="108"/>
      <c r="K21" s="108"/>
      <c r="L21" s="108"/>
    </row>
    <row r="22" spans="1:17" s="20" customFormat="1" ht="21" customHeight="1">
      <c r="A22" s="30" t="str">
        <f>UPPER(H25)</f>
        <v>DANGS DISTRICT PANCHAYAT AHWA</v>
      </c>
      <c r="B22" s="103"/>
      <c r="C22" s="18" t="s">
        <v>52</v>
      </c>
      <c r="D22" s="18"/>
      <c r="E22" s="966" t="s">
        <v>81</v>
      </c>
      <c r="F22" s="966"/>
      <c r="G22" s="165"/>
      <c r="H22" s="106" t="s">
        <v>81</v>
      </c>
      <c r="I22" s="107"/>
      <c r="J22" s="108"/>
      <c r="K22" s="108"/>
      <c r="L22" s="108"/>
    </row>
    <row r="23" spans="1:17" s="20" customFormat="1" ht="21" customHeight="1">
      <c r="A23" s="30" t="str">
        <f>UPPER(H23)</f>
        <v>DANGS DISTRICT PANCHAYAT AHWA</v>
      </c>
      <c r="B23" s="103"/>
      <c r="C23" s="18" t="s">
        <v>38</v>
      </c>
      <c r="D23" s="18"/>
      <c r="E23" s="985" t="s">
        <v>80</v>
      </c>
      <c r="F23" s="966"/>
      <c r="G23" s="162"/>
      <c r="H23" s="106" t="s">
        <v>323</v>
      </c>
      <c r="I23" s="107"/>
      <c r="J23" s="108"/>
      <c r="K23" s="108"/>
      <c r="L23" s="108"/>
    </row>
    <row r="24" spans="1:17" s="103" customFormat="1" ht="21" customHeight="1">
      <c r="A24" s="1238" t="s">
        <v>94</v>
      </c>
      <c r="B24" s="99"/>
      <c r="C24" s="27" t="s">
        <v>40</v>
      </c>
      <c r="D24" s="18"/>
      <c r="E24" s="985" t="s">
        <v>567</v>
      </c>
      <c r="F24" s="966"/>
      <c r="G24" s="162"/>
      <c r="H24" s="106" t="s">
        <v>449</v>
      </c>
      <c r="I24" s="107"/>
      <c r="J24" s="108"/>
      <c r="K24" s="108"/>
      <c r="L24" s="108"/>
    </row>
    <row r="25" spans="1:17" s="103" customFormat="1" ht="21" customHeight="1">
      <c r="A25" s="1239"/>
      <c r="B25" s="100"/>
      <c r="C25" s="28" t="s">
        <v>41</v>
      </c>
      <c r="D25" s="18"/>
      <c r="E25" s="985" t="s">
        <v>323</v>
      </c>
      <c r="F25" s="966"/>
      <c r="G25" s="166"/>
      <c r="H25" s="106" t="s">
        <v>323</v>
      </c>
      <c r="I25" s="107"/>
      <c r="J25" s="108"/>
      <c r="K25" s="108"/>
      <c r="L25" s="108"/>
    </row>
    <row r="26" spans="1:17" s="20" customFormat="1" ht="21" customHeight="1">
      <c r="A26" s="1240"/>
      <c r="B26" s="111" t="str">
        <f>UPPER(H26)</f>
        <v>AHWA</v>
      </c>
      <c r="C26" s="98" t="s">
        <v>42</v>
      </c>
      <c r="D26" s="18"/>
      <c r="E26" s="985" t="s">
        <v>324</v>
      </c>
      <c r="F26" s="966"/>
      <c r="G26" s="166"/>
      <c r="H26" s="106" t="s">
        <v>324</v>
      </c>
      <c r="I26" s="107"/>
      <c r="J26" s="108"/>
      <c r="K26" s="108"/>
      <c r="L26" s="108"/>
      <c r="M26" s="22"/>
      <c r="N26" s="22"/>
      <c r="O26" s="22"/>
      <c r="P26" s="22"/>
      <c r="Q26" s="22"/>
    </row>
    <row r="27" spans="1:17" s="20" customFormat="1" ht="21" customHeight="1">
      <c r="B27" s="103"/>
      <c r="C27" s="18" t="s">
        <v>166</v>
      </c>
      <c r="D27" s="18"/>
      <c r="E27" s="985" t="s">
        <v>509</v>
      </c>
      <c r="F27" s="966"/>
      <c r="G27" s="166"/>
      <c r="H27" s="106" t="s">
        <v>509</v>
      </c>
      <c r="I27" s="107"/>
      <c r="J27" s="108"/>
      <c r="K27" s="108"/>
      <c r="L27" s="108"/>
      <c r="M27" s="22"/>
      <c r="N27" s="22"/>
      <c r="O27" s="22"/>
      <c r="P27" s="22"/>
      <c r="Q27" s="22"/>
    </row>
    <row r="28" spans="1:17" s="20" customFormat="1" ht="21" customHeight="1">
      <c r="A28" s="30" t="str">
        <f>UPPER(H28)</f>
        <v>BALUBHAI CHOUDHARI</v>
      </c>
      <c r="B28" s="103"/>
      <c r="C28" s="18" t="s">
        <v>39</v>
      </c>
      <c r="D28" s="18"/>
      <c r="E28" s="985" t="s">
        <v>510</v>
      </c>
      <c r="F28" s="966"/>
      <c r="G28" s="166"/>
      <c r="H28" s="106" t="s">
        <v>510</v>
      </c>
      <c r="I28" s="107"/>
      <c r="J28" s="108"/>
      <c r="K28" s="108"/>
      <c r="L28" s="108"/>
      <c r="M28" s="22"/>
      <c r="N28" s="22"/>
      <c r="O28" s="22"/>
      <c r="P28" s="22"/>
      <c r="Q28" s="22"/>
    </row>
    <row r="29" spans="1:17" s="19" customFormat="1" ht="15" customHeight="1">
      <c r="A29" s="45" t="str">
        <f>UPPER(H27)</f>
        <v>RATILAL BALUBHAI CHOUDHARI</v>
      </c>
      <c r="B29" s="17"/>
      <c r="C29" s="13" t="s">
        <v>95</v>
      </c>
      <c r="D29" s="77"/>
      <c r="E29" s="79"/>
      <c r="F29" s="385" t="s">
        <v>315</v>
      </c>
      <c r="G29" s="79"/>
      <c r="H29" s="120"/>
      <c r="I29" s="120"/>
      <c r="J29" s="120"/>
      <c r="K29" s="78"/>
      <c r="L29" s="78"/>
      <c r="M29" s="21"/>
      <c r="N29" s="21"/>
      <c r="O29" s="21"/>
      <c r="P29" s="21"/>
      <c r="Q29" s="21"/>
    </row>
    <row r="30" spans="1:17" s="19" customFormat="1" ht="15" customHeight="1">
      <c r="A30" s="45" t="str">
        <f>UPPER(H30)</f>
        <v>STATE BANK OF INDIA</v>
      </c>
      <c r="C30" s="18" t="s">
        <v>43</v>
      </c>
      <c r="D30" s="18"/>
      <c r="E30" s="988" t="s">
        <v>20</v>
      </c>
      <c r="F30" s="161"/>
      <c r="G30" s="167"/>
      <c r="H30" s="102" t="s">
        <v>20</v>
      </c>
      <c r="I30" s="121"/>
      <c r="J30" s="121"/>
      <c r="K30" s="95"/>
      <c r="L30" s="95"/>
      <c r="M30" s="21"/>
      <c r="N30" s="21"/>
      <c r="O30" s="21"/>
      <c r="P30" s="21"/>
      <c r="Q30" s="21"/>
    </row>
    <row r="31" spans="1:17" s="19" customFormat="1" ht="15.75">
      <c r="A31" s="105"/>
      <c r="B31" s="75"/>
      <c r="C31" s="18" t="s">
        <v>342</v>
      </c>
      <c r="D31" s="18"/>
      <c r="E31" s="988" t="s">
        <v>82</v>
      </c>
      <c r="F31" s="168"/>
      <c r="G31" s="169"/>
      <c r="H31" s="114">
        <v>10936167656</v>
      </c>
      <c r="I31" s="114"/>
      <c r="J31" s="114"/>
      <c r="K31" s="96"/>
      <c r="L31" s="96"/>
      <c r="M31" s="21"/>
      <c r="N31" s="21"/>
      <c r="O31" s="21"/>
      <c r="P31" s="21"/>
      <c r="Q31" s="21"/>
    </row>
    <row r="32" spans="1:17" ht="15.75">
      <c r="A32" s="89"/>
      <c r="C32" s="18" t="s">
        <v>455</v>
      </c>
      <c r="D32" s="18"/>
      <c r="E32" s="988" t="s">
        <v>454</v>
      </c>
      <c r="F32" s="168"/>
      <c r="G32" s="169"/>
      <c r="H32" s="114" t="s">
        <v>456</v>
      </c>
    </row>
    <row r="33" spans="1:17" ht="15.75">
      <c r="A33" s="89"/>
      <c r="C33" s="18" t="s">
        <v>457</v>
      </c>
      <c r="D33" s="18"/>
      <c r="E33" s="988" t="s">
        <v>458</v>
      </c>
      <c r="F33" s="168"/>
      <c r="G33" s="169"/>
      <c r="H33" s="114" t="s">
        <v>458</v>
      </c>
    </row>
    <row r="34" spans="1:17" s="19" customFormat="1" ht="15" customHeight="1">
      <c r="A34" s="45" t="str">
        <f>UPPER(H32)</f>
        <v>SAVING</v>
      </c>
      <c r="B34" s="17"/>
      <c r="C34" s="13" t="s">
        <v>459</v>
      </c>
      <c r="D34" s="77"/>
      <c r="E34" s="79"/>
      <c r="F34" s="385" t="s">
        <v>315</v>
      </c>
      <c r="G34" s="79"/>
      <c r="H34" s="120"/>
      <c r="I34" s="120"/>
      <c r="J34" s="120"/>
      <c r="K34" s="78"/>
      <c r="L34" s="78"/>
      <c r="M34" s="21"/>
      <c r="N34" s="21"/>
      <c r="O34" s="21"/>
      <c r="P34" s="21"/>
      <c r="Q34" s="21"/>
    </row>
    <row r="35" spans="1:17" s="19" customFormat="1" ht="15" customHeight="1">
      <c r="A35" s="45" t="str">
        <f>UPPER(H35)</f>
        <v/>
      </c>
      <c r="C35" s="18" t="s">
        <v>43</v>
      </c>
      <c r="D35" s="18"/>
      <c r="E35" s="988" t="s">
        <v>460</v>
      </c>
      <c r="F35" s="989"/>
      <c r="G35" s="167"/>
      <c r="H35" s="102"/>
      <c r="I35" s="121"/>
      <c r="J35" s="121"/>
      <c r="K35" s="95"/>
      <c r="L35" s="95"/>
      <c r="M35" s="21"/>
      <c r="N35" s="21"/>
      <c r="O35" s="21"/>
      <c r="P35" s="21"/>
      <c r="Q35" s="21"/>
    </row>
    <row r="36" spans="1:17" s="19" customFormat="1" ht="15.75">
      <c r="A36" s="105"/>
      <c r="B36" s="75"/>
      <c r="C36" s="18" t="s">
        <v>342</v>
      </c>
      <c r="D36" s="18"/>
      <c r="E36" s="1236">
        <v>139501501294</v>
      </c>
      <c r="F36" s="1236"/>
      <c r="G36" s="169"/>
      <c r="H36" s="114"/>
      <c r="I36" s="114"/>
      <c r="J36" s="114"/>
      <c r="K36" s="96"/>
      <c r="L36" s="96"/>
      <c r="M36" s="21"/>
      <c r="N36" s="21"/>
      <c r="O36" s="21"/>
      <c r="P36" s="21"/>
      <c r="Q36" s="21"/>
    </row>
    <row r="37" spans="1:17" ht="15.75">
      <c r="A37" s="89"/>
      <c r="C37" s="18" t="s">
        <v>455</v>
      </c>
      <c r="D37" s="18"/>
      <c r="E37" s="988" t="s">
        <v>454</v>
      </c>
      <c r="F37" s="989"/>
      <c r="G37" s="169"/>
      <c r="H37" s="114"/>
    </row>
    <row r="38" spans="1:17" ht="15.75">
      <c r="A38" s="89"/>
      <c r="C38" s="18" t="s">
        <v>457</v>
      </c>
      <c r="D38" s="18"/>
      <c r="E38" s="988" t="s">
        <v>461</v>
      </c>
      <c r="F38" s="989"/>
      <c r="G38" s="169"/>
      <c r="H38" s="114"/>
    </row>
    <row r="39" spans="1:17"/>
    <row r="40" spans="1:17"/>
    <row r="41" spans="1:17"/>
    <row r="42" spans="1:17"/>
  </sheetData>
  <sheetProtection password="CCFF" sheet="1" objects="1" scenarios="1" formatCells="0" formatColumns="0" formatRows="0"/>
  <mergeCells count="7">
    <mergeCell ref="E36:F36"/>
    <mergeCell ref="I5:K5"/>
    <mergeCell ref="A24:A26"/>
    <mergeCell ref="A1:E1"/>
    <mergeCell ref="E17:F17"/>
    <mergeCell ref="E15:F15"/>
    <mergeCell ref="E16:F16"/>
  </mergeCells>
  <phoneticPr fontId="20" type="noConversion"/>
  <dataValidations count="6">
    <dataValidation type="textLength" operator="equal" allowBlank="1" showInputMessage="1" showErrorMessage="1" errorTitle="Enter TAN Number" error="TAN Number Must be 10 Character" promptTitle="Enter TAN Number" prompt="TAN Number Must be 10 Character" sqref="H21">
      <formula1>10</formula1>
    </dataValidation>
    <dataValidation operator="equal" errorTitle="Cyber Group Dangs" error="તમારો બેન્કનો ખાતા નંબર એન્ટર કરો" promptTitle="Cyber Group Dangs" prompt="તમારો બેન્કનો ખાતા નંબર એન્ટર કરો" sqref="H31:H33 H36:H37"/>
    <dataValidation showInputMessage="1" showErrorMessage="1" errorTitle="Check Data" error="Check Data typed" sqref="H5:H6"/>
    <dataValidation type="list" allowBlank="1" showInputMessage="1" showErrorMessage="1" sqref="I5:K5">
      <formula1>$K$18:$K$19</formula1>
    </dataValidation>
    <dataValidation type="textLength" operator="equal" allowBlank="1" showInputMessage="1" showErrorMessage="1" errorTitle="Enter PAN Number" error="PAN Number Must be 10 Character" promptTitle="Enter PAN Number" prompt="PAN Number Must be 10 Character" sqref="H19">
      <formula1>10</formula1>
    </dataValidation>
    <dataValidation type="list" allowBlank="1" showInputMessage="1" showErrorMessage="1" sqref="I6">
      <formula1>$J$9:$J$10</formula1>
    </dataValidation>
  </dataValidations>
  <hyperlinks>
    <hyperlink ref="A1:C1" location="MainMenu!A1" display="MainMenu!A1"/>
  </hyperlinks>
  <pageMargins left="0" right="0" top="0.75" bottom="0.5" header="0.25" footer="0.25"/>
  <pageSetup paperSize="9" scale="74" fitToHeight="2" orientation="portrait" horizontalDpi="1200" verticalDpi="12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indexed="39"/>
    <pageSetUpPr fitToPage="1"/>
  </sheetPr>
  <dimension ref="A1:AL65536"/>
  <sheetViews>
    <sheetView showGridLines="0" showRowColHeaders="0" workbookViewId="0">
      <pane xSplit="1" ySplit="5" topLeftCell="B31" activePane="bottomRight" state="frozen"/>
      <selection activeCell="B6" sqref="B6"/>
      <selection pane="topRight" activeCell="B6" sqref="B6"/>
      <selection pane="bottomLeft" activeCell="B6" sqref="B6"/>
      <selection pane="bottomRight" activeCell="M46" sqref="M46"/>
    </sheetView>
  </sheetViews>
  <sheetFormatPr defaultColWidth="0" defaultRowHeight="15" zeroHeight="1"/>
  <cols>
    <col min="1" max="1" width="27.125" style="151" customWidth="1"/>
    <col min="2" max="13" width="9.625" style="152" customWidth="1"/>
    <col min="14" max="14" width="9.625" style="151" customWidth="1"/>
    <col min="15" max="15" width="1.875" style="151" customWidth="1"/>
    <col min="16" max="16" width="13.75" style="143" hidden="1" customWidth="1"/>
    <col min="17" max="16384" width="0" style="143" hidden="1"/>
  </cols>
  <sheetData>
    <row r="1" spans="1:38" ht="5.25" customHeight="1" thickBot="1">
      <c r="A1" s="1245"/>
      <c r="B1" s="1245"/>
      <c r="C1" s="1245"/>
      <c r="D1" s="1245"/>
      <c r="E1" s="809"/>
      <c r="F1" s="809" t="s">
        <v>23</v>
      </c>
      <c r="G1" s="810"/>
      <c r="H1" s="810"/>
      <c r="I1" s="810"/>
      <c r="J1" s="810"/>
      <c r="K1" s="810"/>
      <c r="L1" s="810"/>
      <c r="M1" s="810"/>
      <c r="N1" s="810"/>
      <c r="O1" s="141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</row>
    <row r="2" spans="1:38" ht="22.5" customHeight="1" thickTop="1" thickBot="1">
      <c r="A2" s="1246" t="s">
        <v>90</v>
      </c>
      <c r="B2" s="1246"/>
      <c r="C2" s="1246"/>
      <c r="D2" s="815"/>
      <c r="E2" s="814" t="s">
        <v>589</v>
      </c>
      <c r="F2" s="811"/>
      <c r="G2" s="812"/>
      <c r="H2" s="813"/>
      <c r="I2" s="816"/>
      <c r="J2" s="816"/>
      <c r="K2" s="816"/>
      <c r="L2" s="817"/>
      <c r="M2" s="145"/>
      <c r="N2" s="145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</row>
    <row r="3" spans="1:38" ht="15.75" thickTop="1">
      <c r="A3" s="866" t="s">
        <v>63</v>
      </c>
      <c r="B3" s="1244" t="str">
        <f>'Master Deails'!H7</f>
        <v>Shri K J Patel</v>
      </c>
      <c r="C3" s="1244"/>
      <c r="D3" s="1244"/>
      <c r="E3" s="1244"/>
      <c r="F3" s="148"/>
      <c r="G3" s="148" t="s">
        <v>173</v>
      </c>
      <c r="H3" s="147" t="str">
        <f>'Master Deails'!A18</f>
        <v>RETIRED PS 2 DDO DANGS</v>
      </c>
      <c r="I3" s="147"/>
      <c r="J3" s="147"/>
      <c r="K3" s="149"/>
      <c r="L3" s="149"/>
      <c r="M3" s="149"/>
      <c r="N3" s="146"/>
      <c r="O3" s="150"/>
    </row>
    <row r="4" spans="1:38">
      <c r="A4" s="866" t="s">
        <v>174</v>
      </c>
      <c r="B4" s="867" t="s">
        <v>371</v>
      </c>
      <c r="C4" s="868"/>
      <c r="D4" s="153"/>
      <c r="E4" s="868"/>
      <c r="F4" s="869"/>
      <c r="G4" s="148" t="s">
        <v>175</v>
      </c>
      <c r="H4" s="870">
        <v>43647</v>
      </c>
      <c r="I4" s="871"/>
      <c r="J4" s="148"/>
      <c r="K4" s="148"/>
      <c r="L4" s="148"/>
      <c r="M4" s="148"/>
      <c r="N4" s="146"/>
      <c r="O4" s="150"/>
    </row>
    <row r="5" spans="1:38">
      <c r="A5" s="872"/>
      <c r="B5" s="873">
        <f>'Other than Salary Income'!C11</f>
        <v>44256</v>
      </c>
      <c r="C5" s="873">
        <f>B5+31</f>
        <v>44287</v>
      </c>
      <c r="D5" s="873">
        <f>C5+30</f>
        <v>44317</v>
      </c>
      <c r="E5" s="873">
        <f>D5+31</f>
        <v>44348</v>
      </c>
      <c r="F5" s="873">
        <f>E5+30</f>
        <v>44378</v>
      </c>
      <c r="G5" s="873">
        <f>F5+31</f>
        <v>44409</v>
      </c>
      <c r="H5" s="873">
        <f>G5+31</f>
        <v>44440</v>
      </c>
      <c r="I5" s="873">
        <f>H5+30</f>
        <v>44470</v>
      </c>
      <c r="J5" s="873">
        <f>I5+31</f>
        <v>44501</v>
      </c>
      <c r="K5" s="873">
        <f>J5+30</f>
        <v>44531</v>
      </c>
      <c r="L5" s="873">
        <f>K5+31</f>
        <v>44562</v>
      </c>
      <c r="M5" s="873">
        <f>L5+31</f>
        <v>44593</v>
      </c>
      <c r="N5" s="874" t="s">
        <v>3</v>
      </c>
      <c r="O5" s="150"/>
    </row>
    <row r="6" spans="1:38">
      <c r="A6" s="872" t="s">
        <v>176</v>
      </c>
      <c r="B6" s="932">
        <v>50000</v>
      </c>
      <c r="C6" s="937">
        <f>B6</f>
        <v>50000</v>
      </c>
      <c r="D6" s="937">
        <f t="shared" ref="D6:M6" si="0">C6</f>
        <v>50000</v>
      </c>
      <c r="E6" s="937">
        <f t="shared" si="0"/>
        <v>50000</v>
      </c>
      <c r="F6" s="937">
        <f t="shared" si="0"/>
        <v>50000</v>
      </c>
      <c r="G6" s="937">
        <f t="shared" si="0"/>
        <v>50000</v>
      </c>
      <c r="H6" s="937">
        <f t="shared" si="0"/>
        <v>50000</v>
      </c>
      <c r="I6" s="937">
        <f t="shared" si="0"/>
        <v>50000</v>
      </c>
      <c r="J6" s="937">
        <f t="shared" si="0"/>
        <v>50000</v>
      </c>
      <c r="K6" s="937">
        <f t="shared" si="0"/>
        <v>50000</v>
      </c>
      <c r="L6" s="937">
        <f t="shared" si="0"/>
        <v>50000</v>
      </c>
      <c r="M6" s="937">
        <f t="shared" si="0"/>
        <v>50000</v>
      </c>
      <c r="N6" s="890">
        <f t="shared" ref="N6:N49" si="1">SUM(B6:M6)</f>
        <v>600000</v>
      </c>
      <c r="O6" s="150"/>
    </row>
    <row r="7" spans="1:38">
      <c r="A7" s="872" t="s">
        <v>368</v>
      </c>
      <c r="B7" s="932">
        <v>0</v>
      </c>
      <c r="C7" s="937">
        <f t="shared" ref="C7:C19" si="2">B7</f>
        <v>0</v>
      </c>
      <c r="D7" s="937">
        <f t="shared" ref="D7:M7" si="3">C7</f>
        <v>0</v>
      </c>
      <c r="E7" s="937">
        <f t="shared" si="3"/>
        <v>0</v>
      </c>
      <c r="F7" s="937">
        <f t="shared" si="3"/>
        <v>0</v>
      </c>
      <c r="G7" s="937">
        <f t="shared" si="3"/>
        <v>0</v>
      </c>
      <c r="H7" s="937">
        <f t="shared" si="3"/>
        <v>0</v>
      </c>
      <c r="I7" s="937">
        <f t="shared" si="3"/>
        <v>0</v>
      </c>
      <c r="J7" s="937">
        <f t="shared" si="3"/>
        <v>0</v>
      </c>
      <c r="K7" s="937">
        <f t="shared" si="3"/>
        <v>0</v>
      </c>
      <c r="L7" s="937">
        <f t="shared" si="3"/>
        <v>0</v>
      </c>
      <c r="M7" s="937">
        <f t="shared" si="3"/>
        <v>0</v>
      </c>
      <c r="N7" s="890">
        <f t="shared" si="1"/>
        <v>0</v>
      </c>
      <c r="O7" s="150"/>
    </row>
    <row r="8" spans="1:38">
      <c r="A8" s="872" t="s">
        <v>361</v>
      </c>
      <c r="B8" s="932">
        <v>0</v>
      </c>
      <c r="C8" s="937">
        <f t="shared" si="2"/>
        <v>0</v>
      </c>
      <c r="D8" s="937">
        <f t="shared" ref="D8:M8" si="4">C8</f>
        <v>0</v>
      </c>
      <c r="E8" s="937">
        <f t="shared" si="4"/>
        <v>0</v>
      </c>
      <c r="F8" s="937">
        <f t="shared" si="4"/>
        <v>0</v>
      </c>
      <c r="G8" s="937">
        <f t="shared" si="4"/>
        <v>0</v>
      </c>
      <c r="H8" s="937">
        <f t="shared" si="4"/>
        <v>0</v>
      </c>
      <c r="I8" s="937">
        <f t="shared" si="4"/>
        <v>0</v>
      </c>
      <c r="J8" s="937">
        <f t="shared" si="4"/>
        <v>0</v>
      </c>
      <c r="K8" s="937">
        <f t="shared" si="4"/>
        <v>0</v>
      </c>
      <c r="L8" s="937">
        <f t="shared" si="4"/>
        <v>0</v>
      </c>
      <c r="M8" s="937">
        <f t="shared" si="4"/>
        <v>0</v>
      </c>
      <c r="N8" s="890">
        <f t="shared" si="1"/>
        <v>0</v>
      </c>
      <c r="O8" s="150"/>
    </row>
    <row r="9" spans="1:38">
      <c r="A9" s="875" t="s">
        <v>369</v>
      </c>
      <c r="B9" s="932">
        <v>0</v>
      </c>
      <c r="C9" s="937">
        <f t="shared" si="2"/>
        <v>0</v>
      </c>
      <c r="D9" s="937">
        <f t="shared" ref="D9:M9" si="5">C9</f>
        <v>0</v>
      </c>
      <c r="E9" s="937">
        <f t="shared" si="5"/>
        <v>0</v>
      </c>
      <c r="F9" s="937">
        <f t="shared" si="5"/>
        <v>0</v>
      </c>
      <c r="G9" s="937">
        <f t="shared" si="5"/>
        <v>0</v>
      </c>
      <c r="H9" s="937">
        <f t="shared" si="5"/>
        <v>0</v>
      </c>
      <c r="I9" s="937">
        <f t="shared" si="5"/>
        <v>0</v>
      </c>
      <c r="J9" s="937">
        <f t="shared" si="5"/>
        <v>0</v>
      </c>
      <c r="K9" s="937">
        <f t="shared" si="5"/>
        <v>0</v>
      </c>
      <c r="L9" s="937">
        <f t="shared" si="5"/>
        <v>0</v>
      </c>
      <c r="M9" s="937">
        <f t="shared" si="5"/>
        <v>0</v>
      </c>
      <c r="N9" s="891">
        <f t="shared" si="1"/>
        <v>0</v>
      </c>
      <c r="O9" s="150"/>
    </row>
    <row r="10" spans="1:38">
      <c r="A10" s="872" t="s">
        <v>24</v>
      </c>
      <c r="B10" s="932">
        <v>0</v>
      </c>
      <c r="C10" s="937">
        <f t="shared" si="2"/>
        <v>0</v>
      </c>
      <c r="D10" s="937">
        <f t="shared" ref="D10:M10" si="6">C10</f>
        <v>0</v>
      </c>
      <c r="E10" s="937">
        <f t="shared" si="6"/>
        <v>0</v>
      </c>
      <c r="F10" s="937">
        <f t="shared" si="6"/>
        <v>0</v>
      </c>
      <c r="G10" s="937">
        <f t="shared" si="6"/>
        <v>0</v>
      </c>
      <c r="H10" s="937">
        <f t="shared" si="6"/>
        <v>0</v>
      </c>
      <c r="I10" s="937">
        <f t="shared" si="6"/>
        <v>0</v>
      </c>
      <c r="J10" s="937">
        <f t="shared" si="6"/>
        <v>0</v>
      </c>
      <c r="K10" s="937">
        <f t="shared" si="6"/>
        <v>0</v>
      </c>
      <c r="L10" s="937">
        <f t="shared" si="6"/>
        <v>0</v>
      </c>
      <c r="M10" s="937">
        <f t="shared" si="6"/>
        <v>0</v>
      </c>
      <c r="N10" s="890">
        <f t="shared" si="1"/>
        <v>0</v>
      </c>
      <c r="O10" s="150"/>
    </row>
    <row r="11" spans="1:38">
      <c r="A11" s="876" t="s">
        <v>506</v>
      </c>
      <c r="B11" s="932">
        <v>0</v>
      </c>
      <c r="C11" s="937">
        <f t="shared" si="2"/>
        <v>0</v>
      </c>
      <c r="D11" s="937">
        <f t="shared" ref="D11:M11" si="7">C11</f>
        <v>0</v>
      </c>
      <c r="E11" s="937">
        <f t="shared" si="7"/>
        <v>0</v>
      </c>
      <c r="F11" s="937">
        <f t="shared" si="7"/>
        <v>0</v>
      </c>
      <c r="G11" s="937">
        <f t="shared" si="7"/>
        <v>0</v>
      </c>
      <c r="H11" s="937">
        <f t="shared" si="7"/>
        <v>0</v>
      </c>
      <c r="I11" s="937">
        <f t="shared" si="7"/>
        <v>0</v>
      </c>
      <c r="J11" s="937">
        <f t="shared" si="7"/>
        <v>0</v>
      </c>
      <c r="K11" s="937">
        <f t="shared" si="7"/>
        <v>0</v>
      </c>
      <c r="L11" s="937">
        <f t="shared" si="7"/>
        <v>0</v>
      </c>
      <c r="M11" s="937">
        <f t="shared" si="7"/>
        <v>0</v>
      </c>
      <c r="N11" s="891">
        <f>SUM(B11:M11)</f>
        <v>0</v>
      </c>
      <c r="O11" s="150"/>
    </row>
    <row r="12" spans="1:38">
      <c r="A12" s="872" t="s">
        <v>486</v>
      </c>
      <c r="B12" s="932">
        <v>10000</v>
      </c>
      <c r="C12" s="937">
        <f t="shared" si="2"/>
        <v>10000</v>
      </c>
      <c r="D12" s="937">
        <f t="shared" ref="D12:M12" si="8">C12</f>
        <v>10000</v>
      </c>
      <c r="E12" s="937">
        <f t="shared" si="8"/>
        <v>10000</v>
      </c>
      <c r="F12" s="937">
        <f t="shared" si="8"/>
        <v>10000</v>
      </c>
      <c r="G12" s="937">
        <f t="shared" si="8"/>
        <v>10000</v>
      </c>
      <c r="H12" s="937">
        <f t="shared" si="8"/>
        <v>10000</v>
      </c>
      <c r="I12" s="937">
        <f t="shared" si="8"/>
        <v>10000</v>
      </c>
      <c r="J12" s="937">
        <f t="shared" si="8"/>
        <v>10000</v>
      </c>
      <c r="K12" s="937">
        <f t="shared" si="8"/>
        <v>10000</v>
      </c>
      <c r="L12" s="937">
        <f t="shared" si="8"/>
        <v>10000</v>
      </c>
      <c r="M12" s="937">
        <f t="shared" si="8"/>
        <v>10000</v>
      </c>
      <c r="N12" s="890">
        <f t="shared" si="1"/>
        <v>120000</v>
      </c>
      <c r="O12" s="150"/>
    </row>
    <row r="13" spans="1:38">
      <c r="A13" s="872" t="s">
        <v>372</v>
      </c>
      <c r="B13" s="932">
        <v>0</v>
      </c>
      <c r="C13" s="937">
        <f t="shared" si="2"/>
        <v>0</v>
      </c>
      <c r="D13" s="937">
        <f t="shared" ref="D13:M13" si="9">C13</f>
        <v>0</v>
      </c>
      <c r="E13" s="937">
        <f t="shared" si="9"/>
        <v>0</v>
      </c>
      <c r="F13" s="937">
        <f t="shared" si="9"/>
        <v>0</v>
      </c>
      <c r="G13" s="937">
        <f t="shared" si="9"/>
        <v>0</v>
      </c>
      <c r="H13" s="937">
        <f t="shared" si="9"/>
        <v>0</v>
      </c>
      <c r="I13" s="937">
        <f t="shared" si="9"/>
        <v>0</v>
      </c>
      <c r="J13" s="937">
        <f t="shared" si="9"/>
        <v>0</v>
      </c>
      <c r="K13" s="937">
        <f t="shared" si="9"/>
        <v>0</v>
      </c>
      <c r="L13" s="937">
        <f t="shared" si="9"/>
        <v>0</v>
      </c>
      <c r="M13" s="937">
        <f t="shared" si="9"/>
        <v>0</v>
      </c>
      <c r="N13" s="890">
        <f t="shared" si="1"/>
        <v>0</v>
      </c>
      <c r="O13" s="150"/>
    </row>
    <row r="14" spans="1:38">
      <c r="A14" s="872" t="s">
        <v>177</v>
      </c>
      <c r="B14" s="932">
        <v>0</v>
      </c>
      <c r="C14" s="937">
        <f t="shared" si="2"/>
        <v>0</v>
      </c>
      <c r="D14" s="937">
        <f t="shared" ref="D14:M14" si="10">C14</f>
        <v>0</v>
      </c>
      <c r="E14" s="937">
        <f t="shared" si="10"/>
        <v>0</v>
      </c>
      <c r="F14" s="937">
        <f t="shared" si="10"/>
        <v>0</v>
      </c>
      <c r="G14" s="937">
        <f t="shared" si="10"/>
        <v>0</v>
      </c>
      <c r="H14" s="937">
        <f t="shared" si="10"/>
        <v>0</v>
      </c>
      <c r="I14" s="937">
        <f t="shared" si="10"/>
        <v>0</v>
      </c>
      <c r="J14" s="937">
        <f t="shared" si="10"/>
        <v>0</v>
      </c>
      <c r="K14" s="937">
        <f t="shared" si="10"/>
        <v>0</v>
      </c>
      <c r="L14" s="937">
        <f t="shared" si="10"/>
        <v>0</v>
      </c>
      <c r="M14" s="937">
        <f t="shared" si="10"/>
        <v>0</v>
      </c>
      <c r="N14" s="890">
        <f t="shared" si="1"/>
        <v>0</v>
      </c>
      <c r="O14" s="150"/>
    </row>
    <row r="15" spans="1:38">
      <c r="A15" s="872" t="s">
        <v>537</v>
      </c>
      <c r="B15" s="932">
        <v>0</v>
      </c>
      <c r="C15" s="937">
        <f t="shared" si="2"/>
        <v>0</v>
      </c>
      <c r="D15" s="937">
        <f t="shared" ref="D15:M15" si="11">C15</f>
        <v>0</v>
      </c>
      <c r="E15" s="937">
        <f t="shared" si="11"/>
        <v>0</v>
      </c>
      <c r="F15" s="937">
        <f t="shared" si="11"/>
        <v>0</v>
      </c>
      <c r="G15" s="937">
        <f t="shared" si="11"/>
        <v>0</v>
      </c>
      <c r="H15" s="937">
        <f t="shared" si="11"/>
        <v>0</v>
      </c>
      <c r="I15" s="937">
        <f t="shared" si="11"/>
        <v>0</v>
      </c>
      <c r="J15" s="937">
        <f t="shared" si="11"/>
        <v>0</v>
      </c>
      <c r="K15" s="937">
        <f t="shared" si="11"/>
        <v>0</v>
      </c>
      <c r="L15" s="937">
        <f t="shared" si="11"/>
        <v>0</v>
      </c>
      <c r="M15" s="937">
        <f t="shared" si="11"/>
        <v>0</v>
      </c>
      <c r="N15" s="890">
        <f t="shared" si="1"/>
        <v>0</v>
      </c>
      <c r="O15" s="150"/>
    </row>
    <row r="16" spans="1:38" s="848" customFormat="1">
      <c r="A16" s="877" t="s">
        <v>536</v>
      </c>
      <c r="B16" s="932">
        <v>10</v>
      </c>
      <c r="C16" s="937">
        <f t="shared" si="2"/>
        <v>10</v>
      </c>
      <c r="D16" s="937">
        <f t="shared" ref="D16:M16" si="12">C16</f>
        <v>10</v>
      </c>
      <c r="E16" s="937">
        <f t="shared" si="12"/>
        <v>10</v>
      </c>
      <c r="F16" s="937">
        <f t="shared" si="12"/>
        <v>10</v>
      </c>
      <c r="G16" s="937">
        <f t="shared" si="12"/>
        <v>10</v>
      </c>
      <c r="H16" s="937">
        <f t="shared" si="12"/>
        <v>10</v>
      </c>
      <c r="I16" s="937">
        <f t="shared" si="12"/>
        <v>10</v>
      </c>
      <c r="J16" s="937">
        <f t="shared" si="12"/>
        <v>10</v>
      </c>
      <c r="K16" s="937">
        <f t="shared" si="12"/>
        <v>10</v>
      </c>
      <c r="L16" s="937">
        <f t="shared" si="12"/>
        <v>10</v>
      </c>
      <c r="M16" s="937">
        <f t="shared" si="12"/>
        <v>10</v>
      </c>
      <c r="N16" s="892">
        <f t="shared" si="1"/>
        <v>120</v>
      </c>
    </row>
    <row r="17" spans="1:15">
      <c r="A17" s="872" t="s">
        <v>517</v>
      </c>
      <c r="B17" s="932">
        <v>350</v>
      </c>
      <c r="C17" s="937">
        <f t="shared" si="2"/>
        <v>350</v>
      </c>
      <c r="D17" s="937">
        <f t="shared" ref="D17:M17" si="13">C17</f>
        <v>350</v>
      </c>
      <c r="E17" s="937">
        <f t="shared" si="13"/>
        <v>350</v>
      </c>
      <c r="F17" s="937">
        <f t="shared" si="13"/>
        <v>350</v>
      </c>
      <c r="G17" s="937">
        <f t="shared" si="13"/>
        <v>350</v>
      </c>
      <c r="H17" s="937">
        <f t="shared" si="13"/>
        <v>350</v>
      </c>
      <c r="I17" s="937">
        <f t="shared" si="13"/>
        <v>350</v>
      </c>
      <c r="J17" s="937">
        <f t="shared" si="13"/>
        <v>350</v>
      </c>
      <c r="K17" s="937">
        <f t="shared" si="13"/>
        <v>350</v>
      </c>
      <c r="L17" s="937">
        <f t="shared" si="13"/>
        <v>350</v>
      </c>
      <c r="M17" s="937">
        <f t="shared" si="13"/>
        <v>350</v>
      </c>
      <c r="N17" s="890">
        <f t="shared" si="1"/>
        <v>4200</v>
      </c>
      <c r="O17" s="150"/>
    </row>
    <row r="18" spans="1:15" ht="30" customHeight="1">
      <c r="A18" s="978" t="s">
        <v>560</v>
      </c>
      <c r="B18" s="932">
        <v>0</v>
      </c>
      <c r="C18" s="937">
        <f t="shared" si="2"/>
        <v>0</v>
      </c>
      <c r="D18" s="937">
        <f t="shared" ref="D18:M18" si="14">C18</f>
        <v>0</v>
      </c>
      <c r="E18" s="937">
        <f t="shared" si="14"/>
        <v>0</v>
      </c>
      <c r="F18" s="937">
        <f t="shared" si="14"/>
        <v>0</v>
      </c>
      <c r="G18" s="937">
        <f t="shared" si="14"/>
        <v>0</v>
      </c>
      <c r="H18" s="937">
        <f t="shared" si="14"/>
        <v>0</v>
      </c>
      <c r="I18" s="937">
        <f t="shared" si="14"/>
        <v>0</v>
      </c>
      <c r="J18" s="937">
        <f t="shared" si="14"/>
        <v>0</v>
      </c>
      <c r="K18" s="937">
        <f t="shared" si="14"/>
        <v>0</v>
      </c>
      <c r="L18" s="937">
        <f t="shared" si="14"/>
        <v>0</v>
      </c>
      <c r="M18" s="937">
        <f t="shared" si="14"/>
        <v>0</v>
      </c>
      <c r="N18" s="890">
        <f t="shared" si="1"/>
        <v>0</v>
      </c>
      <c r="O18" s="150"/>
    </row>
    <row r="19" spans="1:15">
      <c r="A19" s="884" t="s">
        <v>112</v>
      </c>
      <c r="B19" s="932">
        <v>0</v>
      </c>
      <c r="C19" s="937">
        <f t="shared" si="2"/>
        <v>0</v>
      </c>
      <c r="D19" s="937">
        <f t="shared" ref="D19:M19" si="15">C19</f>
        <v>0</v>
      </c>
      <c r="E19" s="937">
        <f t="shared" si="15"/>
        <v>0</v>
      </c>
      <c r="F19" s="937">
        <f t="shared" si="15"/>
        <v>0</v>
      </c>
      <c r="G19" s="937">
        <f t="shared" si="15"/>
        <v>0</v>
      </c>
      <c r="H19" s="937">
        <f t="shared" si="15"/>
        <v>0</v>
      </c>
      <c r="I19" s="937">
        <f t="shared" si="15"/>
        <v>0</v>
      </c>
      <c r="J19" s="937">
        <f t="shared" si="15"/>
        <v>0</v>
      </c>
      <c r="K19" s="937">
        <f t="shared" si="15"/>
        <v>0</v>
      </c>
      <c r="L19" s="937">
        <f t="shared" si="15"/>
        <v>0</v>
      </c>
      <c r="M19" s="937">
        <f t="shared" si="15"/>
        <v>0</v>
      </c>
      <c r="N19" s="893">
        <f>SUM(B19:M19)</f>
        <v>0</v>
      </c>
      <c r="O19" s="150"/>
    </row>
    <row r="20" spans="1:15">
      <c r="A20" s="884" t="s">
        <v>515</v>
      </c>
      <c r="B20" s="885"/>
      <c r="C20" s="898"/>
      <c r="D20" s="898"/>
      <c r="E20" s="898"/>
      <c r="F20" s="898"/>
      <c r="G20" s="898"/>
      <c r="H20" s="898"/>
      <c r="I20" s="898"/>
      <c r="J20" s="898">
        <v>17850</v>
      </c>
      <c r="K20" s="898"/>
      <c r="L20" s="898"/>
      <c r="M20" s="898"/>
      <c r="N20" s="893">
        <f t="shared" si="1"/>
        <v>17850</v>
      </c>
      <c r="O20" s="150"/>
    </row>
    <row r="21" spans="1:15">
      <c r="A21" s="886" t="s">
        <v>447</v>
      </c>
      <c r="B21" s="887"/>
      <c r="C21" s="899"/>
      <c r="D21" s="899"/>
      <c r="E21" s="899"/>
      <c r="F21" s="899"/>
      <c r="G21" s="899"/>
      <c r="H21" s="938"/>
      <c r="I21" s="899"/>
      <c r="J21" s="899">
        <v>2364</v>
      </c>
      <c r="K21" s="899"/>
      <c r="L21" s="899"/>
      <c r="M21" s="899"/>
      <c r="N21" s="894"/>
      <c r="O21" s="150"/>
    </row>
    <row r="22" spans="1:15">
      <c r="A22" s="888" t="s">
        <v>67</v>
      </c>
      <c r="B22" s="1157"/>
      <c r="C22" s="1158"/>
      <c r="D22" s="1158"/>
      <c r="E22" s="1158"/>
      <c r="F22" s="1158"/>
      <c r="G22" s="1158"/>
      <c r="H22" s="1158"/>
      <c r="I22" s="1158"/>
      <c r="J22" s="1158">
        <v>44511</v>
      </c>
      <c r="K22" s="1158"/>
      <c r="L22" s="1158"/>
      <c r="M22" s="1158"/>
      <c r="N22" s="895"/>
      <c r="O22" s="150"/>
    </row>
    <row r="23" spans="1:15">
      <c r="A23" s="884" t="s">
        <v>516</v>
      </c>
      <c r="B23" s="885"/>
      <c r="C23" s="898"/>
      <c r="D23" s="898"/>
      <c r="E23" s="898"/>
      <c r="F23" s="898"/>
      <c r="G23" s="898"/>
      <c r="H23" s="898"/>
      <c r="I23" s="898">
        <v>82086</v>
      </c>
      <c r="J23" s="898"/>
      <c r="K23" s="898"/>
      <c r="L23" s="898"/>
      <c r="M23" s="898"/>
      <c r="N23" s="893">
        <f>SUM(B23:M23)</f>
        <v>82086</v>
      </c>
      <c r="O23" s="150"/>
    </row>
    <row r="24" spans="1:15">
      <c r="A24" s="886" t="s">
        <v>447</v>
      </c>
      <c r="B24" s="887"/>
      <c r="C24" s="899"/>
      <c r="D24" s="899"/>
      <c r="E24" s="899"/>
      <c r="F24" s="899"/>
      <c r="G24" s="899"/>
      <c r="H24" s="938"/>
      <c r="I24" s="899">
        <v>2043</v>
      </c>
      <c r="J24" s="899"/>
      <c r="K24" s="899"/>
      <c r="L24" s="899"/>
      <c r="M24" s="899"/>
      <c r="N24" s="894"/>
      <c r="O24" s="150"/>
    </row>
    <row r="25" spans="1:15">
      <c r="A25" s="888" t="s">
        <v>67</v>
      </c>
      <c r="B25" s="1157"/>
      <c r="C25" s="1158"/>
      <c r="D25" s="1158"/>
      <c r="E25" s="1158"/>
      <c r="F25" s="1158"/>
      <c r="G25" s="1158"/>
      <c r="H25" s="1158"/>
      <c r="I25" s="1158">
        <v>44484</v>
      </c>
      <c r="J25" s="1158"/>
      <c r="K25" s="1158"/>
      <c r="L25" s="1158"/>
      <c r="M25" s="1158"/>
      <c r="N25" s="895"/>
      <c r="O25" s="150"/>
    </row>
    <row r="26" spans="1:15">
      <c r="A26" s="879" t="s">
        <v>178</v>
      </c>
      <c r="B26" s="880">
        <f t="shared" ref="B26:M26" si="16">SUM(B6:B18)+B20+B23</f>
        <v>60360</v>
      </c>
      <c r="C26" s="896">
        <f t="shared" si="16"/>
        <v>60360</v>
      </c>
      <c r="D26" s="896">
        <f t="shared" si="16"/>
        <v>60360</v>
      </c>
      <c r="E26" s="896">
        <f t="shared" si="16"/>
        <v>60360</v>
      </c>
      <c r="F26" s="896">
        <f t="shared" si="16"/>
        <v>60360</v>
      </c>
      <c r="G26" s="896">
        <f t="shared" si="16"/>
        <v>60360</v>
      </c>
      <c r="H26" s="896">
        <f t="shared" si="16"/>
        <v>60360</v>
      </c>
      <c r="I26" s="896">
        <f t="shared" si="16"/>
        <v>142446</v>
      </c>
      <c r="J26" s="896">
        <f t="shared" si="16"/>
        <v>78210</v>
      </c>
      <c r="K26" s="896">
        <f t="shared" si="16"/>
        <v>60360</v>
      </c>
      <c r="L26" s="896">
        <f t="shared" si="16"/>
        <v>60360</v>
      </c>
      <c r="M26" s="896">
        <f t="shared" si="16"/>
        <v>60360</v>
      </c>
      <c r="N26" s="896">
        <f>SUM(N6:N20)+N23</f>
        <v>824256</v>
      </c>
      <c r="O26" s="150"/>
    </row>
    <row r="27" spans="1:15">
      <c r="A27" s="872" t="s">
        <v>370</v>
      </c>
      <c r="B27" s="932">
        <v>0</v>
      </c>
      <c r="C27" s="889">
        <f>B27</f>
        <v>0</v>
      </c>
      <c r="D27" s="889">
        <f t="shared" ref="D27:M27" si="17">C27</f>
        <v>0</v>
      </c>
      <c r="E27" s="889">
        <f t="shared" si="17"/>
        <v>0</v>
      </c>
      <c r="F27" s="889">
        <f t="shared" si="17"/>
        <v>0</v>
      </c>
      <c r="G27" s="889">
        <f t="shared" si="17"/>
        <v>0</v>
      </c>
      <c r="H27" s="889">
        <f t="shared" si="17"/>
        <v>0</v>
      </c>
      <c r="I27" s="889">
        <f t="shared" si="17"/>
        <v>0</v>
      </c>
      <c r="J27" s="889">
        <f t="shared" si="17"/>
        <v>0</v>
      </c>
      <c r="K27" s="889">
        <f t="shared" si="17"/>
        <v>0</v>
      </c>
      <c r="L27" s="889">
        <f t="shared" si="17"/>
        <v>0</v>
      </c>
      <c r="M27" s="889">
        <f t="shared" si="17"/>
        <v>0</v>
      </c>
      <c r="N27" s="890">
        <f t="shared" si="1"/>
        <v>0</v>
      </c>
      <c r="O27" s="150"/>
    </row>
    <row r="28" spans="1:15">
      <c r="A28" s="872" t="s">
        <v>179</v>
      </c>
      <c r="B28" s="932">
        <v>0</v>
      </c>
      <c r="C28" s="889">
        <f t="shared" ref="C28:M47" si="18">B28</f>
        <v>0</v>
      </c>
      <c r="D28" s="889">
        <f t="shared" si="18"/>
        <v>0</v>
      </c>
      <c r="E28" s="889">
        <f t="shared" si="18"/>
        <v>0</v>
      </c>
      <c r="F28" s="889">
        <f t="shared" si="18"/>
        <v>0</v>
      </c>
      <c r="G28" s="889">
        <f t="shared" si="18"/>
        <v>0</v>
      </c>
      <c r="H28" s="889">
        <f t="shared" si="18"/>
        <v>0</v>
      </c>
      <c r="I28" s="889">
        <f t="shared" si="18"/>
        <v>0</v>
      </c>
      <c r="J28" s="889">
        <f t="shared" si="18"/>
        <v>0</v>
      </c>
      <c r="K28" s="889">
        <f t="shared" si="18"/>
        <v>0</v>
      </c>
      <c r="L28" s="889">
        <f t="shared" si="18"/>
        <v>0</v>
      </c>
      <c r="M28" s="889">
        <f t="shared" si="18"/>
        <v>0</v>
      </c>
      <c r="N28" s="890">
        <f t="shared" si="1"/>
        <v>0</v>
      </c>
      <c r="O28" s="150"/>
    </row>
    <row r="29" spans="1:15">
      <c r="A29" s="872" t="s">
        <v>180</v>
      </c>
      <c r="B29" s="932">
        <v>0</v>
      </c>
      <c r="C29" s="889">
        <f t="shared" si="18"/>
        <v>0</v>
      </c>
      <c r="D29" s="889">
        <f t="shared" si="18"/>
        <v>0</v>
      </c>
      <c r="E29" s="889">
        <f t="shared" si="18"/>
        <v>0</v>
      </c>
      <c r="F29" s="889">
        <f t="shared" si="18"/>
        <v>0</v>
      </c>
      <c r="G29" s="889">
        <f t="shared" si="18"/>
        <v>0</v>
      </c>
      <c r="H29" s="889">
        <f t="shared" si="18"/>
        <v>0</v>
      </c>
      <c r="I29" s="889">
        <f t="shared" si="18"/>
        <v>0</v>
      </c>
      <c r="J29" s="889">
        <f t="shared" si="18"/>
        <v>0</v>
      </c>
      <c r="K29" s="889">
        <f t="shared" si="18"/>
        <v>0</v>
      </c>
      <c r="L29" s="889">
        <f t="shared" si="18"/>
        <v>0</v>
      </c>
      <c r="M29" s="889">
        <f t="shared" si="18"/>
        <v>0</v>
      </c>
      <c r="N29" s="890">
        <f t="shared" si="1"/>
        <v>0</v>
      </c>
      <c r="O29" s="150"/>
    </row>
    <row r="30" spans="1:15">
      <c r="A30" s="872" t="s">
        <v>181</v>
      </c>
      <c r="B30" s="932">
        <v>0</v>
      </c>
      <c r="C30" s="889">
        <f t="shared" si="18"/>
        <v>0</v>
      </c>
      <c r="D30" s="889">
        <f t="shared" si="18"/>
        <v>0</v>
      </c>
      <c r="E30" s="889">
        <f t="shared" si="18"/>
        <v>0</v>
      </c>
      <c r="F30" s="889">
        <f t="shared" si="18"/>
        <v>0</v>
      </c>
      <c r="G30" s="889">
        <f t="shared" si="18"/>
        <v>0</v>
      </c>
      <c r="H30" s="889">
        <f t="shared" si="18"/>
        <v>0</v>
      </c>
      <c r="I30" s="889">
        <f t="shared" si="18"/>
        <v>0</v>
      </c>
      <c r="J30" s="889">
        <f t="shared" si="18"/>
        <v>0</v>
      </c>
      <c r="K30" s="889">
        <f t="shared" si="18"/>
        <v>0</v>
      </c>
      <c r="L30" s="889">
        <f t="shared" si="18"/>
        <v>0</v>
      </c>
      <c r="M30" s="889">
        <f t="shared" si="18"/>
        <v>0</v>
      </c>
      <c r="N30" s="890">
        <f t="shared" si="1"/>
        <v>0</v>
      </c>
      <c r="O30" s="150"/>
    </row>
    <row r="31" spans="1:15">
      <c r="A31" s="872" t="s">
        <v>182</v>
      </c>
      <c r="B31" s="932">
        <v>0</v>
      </c>
      <c r="C31" s="889">
        <f t="shared" si="18"/>
        <v>0</v>
      </c>
      <c r="D31" s="889">
        <f t="shared" si="18"/>
        <v>0</v>
      </c>
      <c r="E31" s="889">
        <f t="shared" si="18"/>
        <v>0</v>
      </c>
      <c r="F31" s="889">
        <f t="shared" si="18"/>
        <v>0</v>
      </c>
      <c r="G31" s="889">
        <f t="shared" si="18"/>
        <v>0</v>
      </c>
      <c r="H31" s="889">
        <f t="shared" si="18"/>
        <v>0</v>
      </c>
      <c r="I31" s="889">
        <f t="shared" si="18"/>
        <v>0</v>
      </c>
      <c r="J31" s="889">
        <f t="shared" si="18"/>
        <v>0</v>
      </c>
      <c r="K31" s="889">
        <f t="shared" si="18"/>
        <v>0</v>
      </c>
      <c r="L31" s="889">
        <f t="shared" si="18"/>
        <v>0</v>
      </c>
      <c r="M31" s="889">
        <f t="shared" si="18"/>
        <v>0</v>
      </c>
      <c r="N31" s="890">
        <f t="shared" si="1"/>
        <v>0</v>
      </c>
      <c r="O31" s="150"/>
    </row>
    <row r="32" spans="1:15">
      <c r="A32" s="872" t="s">
        <v>183</v>
      </c>
      <c r="B32" s="932">
        <v>0</v>
      </c>
      <c r="C32" s="889">
        <f t="shared" si="18"/>
        <v>0</v>
      </c>
      <c r="D32" s="889">
        <f t="shared" si="18"/>
        <v>0</v>
      </c>
      <c r="E32" s="889">
        <f t="shared" si="18"/>
        <v>0</v>
      </c>
      <c r="F32" s="889">
        <f t="shared" si="18"/>
        <v>0</v>
      </c>
      <c r="G32" s="889">
        <f t="shared" si="18"/>
        <v>0</v>
      </c>
      <c r="H32" s="889">
        <f t="shared" si="18"/>
        <v>0</v>
      </c>
      <c r="I32" s="889">
        <f t="shared" si="18"/>
        <v>0</v>
      </c>
      <c r="J32" s="889">
        <f t="shared" si="18"/>
        <v>0</v>
      </c>
      <c r="K32" s="889">
        <f t="shared" si="18"/>
        <v>0</v>
      </c>
      <c r="L32" s="889">
        <f t="shared" si="18"/>
        <v>0</v>
      </c>
      <c r="M32" s="889">
        <f t="shared" si="18"/>
        <v>0</v>
      </c>
      <c r="N32" s="890">
        <f t="shared" si="1"/>
        <v>0</v>
      </c>
      <c r="O32" s="150"/>
    </row>
    <row r="33" spans="1:16">
      <c r="A33" s="872" t="s">
        <v>184</v>
      </c>
      <c r="B33" s="932">
        <v>0</v>
      </c>
      <c r="C33" s="889">
        <f t="shared" si="18"/>
        <v>0</v>
      </c>
      <c r="D33" s="889">
        <f t="shared" si="18"/>
        <v>0</v>
      </c>
      <c r="E33" s="889">
        <f t="shared" si="18"/>
        <v>0</v>
      </c>
      <c r="F33" s="889">
        <f t="shared" si="18"/>
        <v>0</v>
      </c>
      <c r="G33" s="889">
        <f t="shared" si="18"/>
        <v>0</v>
      </c>
      <c r="H33" s="889">
        <f t="shared" si="18"/>
        <v>0</v>
      </c>
      <c r="I33" s="889">
        <f t="shared" si="18"/>
        <v>0</v>
      </c>
      <c r="J33" s="889">
        <f t="shared" si="18"/>
        <v>0</v>
      </c>
      <c r="K33" s="889">
        <f t="shared" si="18"/>
        <v>0</v>
      </c>
      <c r="L33" s="889">
        <f t="shared" si="18"/>
        <v>0</v>
      </c>
      <c r="M33" s="889">
        <f t="shared" si="18"/>
        <v>0</v>
      </c>
      <c r="N33" s="890">
        <f t="shared" si="1"/>
        <v>0</v>
      </c>
      <c r="O33" s="150"/>
    </row>
    <row r="34" spans="1:16">
      <c r="A34" s="872" t="s">
        <v>25</v>
      </c>
      <c r="B34" s="932">
        <v>0</v>
      </c>
      <c r="C34" s="889">
        <f t="shared" si="18"/>
        <v>0</v>
      </c>
      <c r="D34" s="889">
        <f t="shared" si="18"/>
        <v>0</v>
      </c>
      <c r="E34" s="889">
        <f t="shared" si="18"/>
        <v>0</v>
      </c>
      <c r="F34" s="889">
        <f t="shared" si="18"/>
        <v>0</v>
      </c>
      <c r="G34" s="889">
        <f t="shared" si="18"/>
        <v>0</v>
      </c>
      <c r="H34" s="889">
        <f t="shared" si="18"/>
        <v>0</v>
      </c>
      <c r="I34" s="889">
        <f t="shared" si="18"/>
        <v>0</v>
      </c>
      <c r="J34" s="889">
        <f t="shared" si="18"/>
        <v>0</v>
      </c>
      <c r="K34" s="889">
        <f t="shared" si="18"/>
        <v>0</v>
      </c>
      <c r="L34" s="889">
        <f t="shared" si="18"/>
        <v>0</v>
      </c>
      <c r="M34" s="889">
        <f t="shared" si="18"/>
        <v>0</v>
      </c>
      <c r="N34" s="890">
        <f t="shared" si="1"/>
        <v>0</v>
      </c>
      <c r="O34" s="150"/>
    </row>
    <row r="35" spans="1:16">
      <c r="A35" s="872" t="s">
        <v>494</v>
      </c>
      <c r="B35" s="932">
        <v>0</v>
      </c>
      <c r="C35" s="889">
        <f t="shared" si="18"/>
        <v>0</v>
      </c>
      <c r="D35" s="889">
        <f t="shared" si="18"/>
        <v>0</v>
      </c>
      <c r="E35" s="889">
        <f t="shared" si="18"/>
        <v>0</v>
      </c>
      <c r="F35" s="889">
        <f t="shared" si="18"/>
        <v>0</v>
      </c>
      <c r="G35" s="889">
        <f t="shared" si="18"/>
        <v>0</v>
      </c>
      <c r="H35" s="889">
        <f t="shared" si="18"/>
        <v>0</v>
      </c>
      <c r="I35" s="889">
        <f t="shared" si="18"/>
        <v>0</v>
      </c>
      <c r="J35" s="889">
        <f t="shared" si="18"/>
        <v>0</v>
      </c>
      <c r="K35" s="889">
        <f t="shared" si="18"/>
        <v>0</v>
      </c>
      <c r="L35" s="889">
        <f t="shared" si="18"/>
        <v>0</v>
      </c>
      <c r="M35" s="889">
        <f t="shared" si="18"/>
        <v>0</v>
      </c>
      <c r="N35" s="890">
        <f t="shared" si="1"/>
        <v>0</v>
      </c>
      <c r="O35" s="150"/>
    </row>
    <row r="36" spans="1:16">
      <c r="A36" s="884" t="s">
        <v>435</v>
      </c>
      <c r="B36" s="933">
        <v>2000</v>
      </c>
      <c r="C36" s="889">
        <f t="shared" si="18"/>
        <v>2000</v>
      </c>
      <c r="D36" s="889">
        <f t="shared" si="18"/>
        <v>2000</v>
      </c>
      <c r="E36" s="889">
        <f t="shared" si="18"/>
        <v>2000</v>
      </c>
      <c r="F36" s="889">
        <f t="shared" si="18"/>
        <v>2000</v>
      </c>
      <c r="G36" s="889">
        <f t="shared" si="18"/>
        <v>2000</v>
      </c>
      <c r="H36" s="889">
        <f t="shared" si="18"/>
        <v>2000</v>
      </c>
      <c r="I36" s="889">
        <f t="shared" si="18"/>
        <v>2000</v>
      </c>
      <c r="J36" s="889">
        <f t="shared" si="18"/>
        <v>2000</v>
      </c>
      <c r="K36" s="889">
        <f t="shared" si="18"/>
        <v>2000</v>
      </c>
      <c r="L36" s="889">
        <f t="shared" si="18"/>
        <v>2000</v>
      </c>
      <c r="M36" s="889">
        <f t="shared" si="18"/>
        <v>2000</v>
      </c>
      <c r="N36" s="893">
        <f t="shared" si="1"/>
        <v>24000</v>
      </c>
      <c r="O36" s="150"/>
    </row>
    <row r="37" spans="1:16">
      <c r="A37" s="886" t="s">
        <v>520</v>
      </c>
      <c r="B37" s="934">
        <v>0</v>
      </c>
      <c r="C37" s="889">
        <f t="shared" si="18"/>
        <v>0</v>
      </c>
      <c r="D37" s="889">
        <f t="shared" si="18"/>
        <v>0</v>
      </c>
      <c r="E37" s="889">
        <f t="shared" si="18"/>
        <v>0</v>
      </c>
      <c r="F37" s="889">
        <f t="shared" si="18"/>
        <v>0</v>
      </c>
      <c r="G37" s="889">
        <f t="shared" si="18"/>
        <v>0</v>
      </c>
      <c r="H37" s="889">
        <f t="shared" si="18"/>
        <v>0</v>
      </c>
      <c r="I37" s="889">
        <f t="shared" si="18"/>
        <v>0</v>
      </c>
      <c r="J37" s="889">
        <f t="shared" si="18"/>
        <v>0</v>
      </c>
      <c r="K37" s="889">
        <f t="shared" si="18"/>
        <v>0</v>
      </c>
      <c r="L37" s="889">
        <f t="shared" si="18"/>
        <v>0</v>
      </c>
      <c r="M37" s="889">
        <f t="shared" si="18"/>
        <v>0</v>
      </c>
      <c r="N37" s="900">
        <f>SUM(B37:M37)</f>
        <v>0</v>
      </c>
      <c r="O37" s="150"/>
    </row>
    <row r="38" spans="1:16">
      <c r="A38" s="888" t="s">
        <v>519</v>
      </c>
      <c r="B38" s="935">
        <v>0</v>
      </c>
      <c r="C38" s="889">
        <f t="shared" si="18"/>
        <v>0</v>
      </c>
      <c r="D38" s="889">
        <f t="shared" si="18"/>
        <v>0</v>
      </c>
      <c r="E38" s="889">
        <f t="shared" si="18"/>
        <v>0</v>
      </c>
      <c r="F38" s="889">
        <f t="shared" si="18"/>
        <v>0</v>
      </c>
      <c r="G38" s="889">
        <f t="shared" si="18"/>
        <v>0</v>
      </c>
      <c r="H38" s="889">
        <f t="shared" si="18"/>
        <v>0</v>
      </c>
      <c r="I38" s="889">
        <f t="shared" si="18"/>
        <v>0</v>
      </c>
      <c r="J38" s="889">
        <f t="shared" si="18"/>
        <v>0</v>
      </c>
      <c r="K38" s="889">
        <f t="shared" si="18"/>
        <v>0</v>
      </c>
      <c r="L38" s="889">
        <f t="shared" si="18"/>
        <v>0</v>
      </c>
      <c r="M38" s="889">
        <f t="shared" si="18"/>
        <v>0</v>
      </c>
      <c r="N38" s="901">
        <f>SUM(B38:M38)</f>
        <v>0</v>
      </c>
      <c r="O38" s="150"/>
    </row>
    <row r="39" spans="1:16">
      <c r="A39" s="884" t="s">
        <v>432</v>
      </c>
      <c r="B39" s="933">
        <v>0</v>
      </c>
      <c r="C39" s="889">
        <f t="shared" si="18"/>
        <v>0</v>
      </c>
      <c r="D39" s="889">
        <f t="shared" si="18"/>
        <v>0</v>
      </c>
      <c r="E39" s="889">
        <f t="shared" si="18"/>
        <v>0</v>
      </c>
      <c r="F39" s="889">
        <f t="shared" si="18"/>
        <v>0</v>
      </c>
      <c r="G39" s="889">
        <f t="shared" si="18"/>
        <v>0</v>
      </c>
      <c r="H39" s="889">
        <f t="shared" si="18"/>
        <v>0</v>
      </c>
      <c r="I39" s="889">
        <f t="shared" si="18"/>
        <v>0</v>
      </c>
      <c r="J39" s="889">
        <f t="shared" si="18"/>
        <v>0</v>
      </c>
      <c r="K39" s="889">
        <f t="shared" si="18"/>
        <v>0</v>
      </c>
      <c r="L39" s="889">
        <f t="shared" si="18"/>
        <v>0</v>
      </c>
      <c r="M39" s="889">
        <f t="shared" si="18"/>
        <v>0</v>
      </c>
      <c r="N39" s="893">
        <f>SUM(B39:M39)</f>
        <v>0</v>
      </c>
      <c r="O39" s="150"/>
    </row>
    <row r="40" spans="1:16">
      <c r="A40" s="888" t="s">
        <v>518</v>
      </c>
      <c r="B40" s="935">
        <v>0</v>
      </c>
      <c r="C40" s="889">
        <f t="shared" si="18"/>
        <v>0</v>
      </c>
      <c r="D40" s="889">
        <f t="shared" si="18"/>
        <v>0</v>
      </c>
      <c r="E40" s="889">
        <f t="shared" si="18"/>
        <v>0</v>
      </c>
      <c r="F40" s="889">
        <f t="shared" si="18"/>
        <v>0</v>
      </c>
      <c r="G40" s="889">
        <f t="shared" si="18"/>
        <v>0</v>
      </c>
      <c r="H40" s="889">
        <f t="shared" si="18"/>
        <v>0</v>
      </c>
      <c r="I40" s="889">
        <f t="shared" si="18"/>
        <v>0</v>
      </c>
      <c r="J40" s="889">
        <f t="shared" si="18"/>
        <v>0</v>
      </c>
      <c r="K40" s="889">
        <f t="shared" si="18"/>
        <v>0</v>
      </c>
      <c r="L40" s="889">
        <f t="shared" si="18"/>
        <v>0</v>
      </c>
      <c r="M40" s="889">
        <f t="shared" si="18"/>
        <v>0</v>
      </c>
      <c r="N40" s="901">
        <f>SUM(B40:M40)</f>
        <v>0</v>
      </c>
      <c r="O40" s="150"/>
    </row>
    <row r="41" spans="1:16">
      <c r="A41" s="872" t="s">
        <v>185</v>
      </c>
      <c r="B41" s="932">
        <v>200</v>
      </c>
      <c r="C41" s="889">
        <f t="shared" si="18"/>
        <v>200</v>
      </c>
      <c r="D41" s="889">
        <f t="shared" si="18"/>
        <v>200</v>
      </c>
      <c r="E41" s="889">
        <f t="shared" si="18"/>
        <v>200</v>
      </c>
      <c r="F41" s="889">
        <f t="shared" si="18"/>
        <v>200</v>
      </c>
      <c r="G41" s="889">
        <f t="shared" si="18"/>
        <v>200</v>
      </c>
      <c r="H41" s="889">
        <f t="shared" si="18"/>
        <v>200</v>
      </c>
      <c r="I41" s="889">
        <f t="shared" si="18"/>
        <v>200</v>
      </c>
      <c r="J41" s="889">
        <f t="shared" si="18"/>
        <v>200</v>
      </c>
      <c r="K41" s="889">
        <f t="shared" si="18"/>
        <v>200</v>
      </c>
      <c r="L41" s="889">
        <f t="shared" si="18"/>
        <v>200</v>
      </c>
      <c r="M41" s="889">
        <f t="shared" si="18"/>
        <v>200</v>
      </c>
      <c r="N41" s="890">
        <f t="shared" si="1"/>
        <v>2400</v>
      </c>
      <c r="O41" s="150"/>
    </row>
    <row r="42" spans="1:16">
      <c r="A42" s="872" t="s">
        <v>186</v>
      </c>
      <c r="B42" s="932">
        <v>400</v>
      </c>
      <c r="C42" s="889">
        <f t="shared" si="18"/>
        <v>400</v>
      </c>
      <c r="D42" s="889">
        <f t="shared" si="18"/>
        <v>400</v>
      </c>
      <c r="E42" s="889">
        <f t="shared" si="18"/>
        <v>400</v>
      </c>
      <c r="F42" s="889">
        <f t="shared" si="18"/>
        <v>400</v>
      </c>
      <c r="G42" s="889">
        <f t="shared" si="18"/>
        <v>400</v>
      </c>
      <c r="H42" s="889">
        <f t="shared" si="18"/>
        <v>400</v>
      </c>
      <c r="I42" s="889">
        <f t="shared" si="18"/>
        <v>400</v>
      </c>
      <c r="J42" s="889">
        <f t="shared" si="18"/>
        <v>400</v>
      </c>
      <c r="K42" s="889">
        <f t="shared" si="18"/>
        <v>400</v>
      </c>
      <c r="L42" s="889">
        <f t="shared" si="18"/>
        <v>400</v>
      </c>
      <c r="M42" s="889">
        <f t="shared" si="18"/>
        <v>400</v>
      </c>
      <c r="N42" s="890">
        <f t="shared" si="1"/>
        <v>4800</v>
      </c>
      <c r="O42" s="150"/>
    </row>
    <row r="43" spans="1:16">
      <c r="A43" s="872" t="s">
        <v>4</v>
      </c>
      <c r="B43" s="932">
        <v>0</v>
      </c>
      <c r="C43" s="889">
        <f t="shared" si="18"/>
        <v>0</v>
      </c>
      <c r="D43" s="889">
        <f t="shared" si="18"/>
        <v>0</v>
      </c>
      <c r="E43" s="889">
        <f t="shared" si="18"/>
        <v>0</v>
      </c>
      <c r="F43" s="889">
        <f t="shared" si="18"/>
        <v>0</v>
      </c>
      <c r="G43" s="889">
        <f t="shared" si="18"/>
        <v>0</v>
      </c>
      <c r="H43" s="889">
        <f t="shared" si="18"/>
        <v>0</v>
      </c>
      <c r="I43" s="889">
        <f t="shared" si="18"/>
        <v>0</v>
      </c>
      <c r="J43" s="889">
        <f t="shared" si="18"/>
        <v>0</v>
      </c>
      <c r="K43" s="889">
        <f t="shared" si="18"/>
        <v>0</v>
      </c>
      <c r="L43" s="889">
        <f t="shared" si="18"/>
        <v>0</v>
      </c>
      <c r="M43" s="889">
        <f t="shared" si="18"/>
        <v>0</v>
      </c>
      <c r="N43" s="890">
        <f t="shared" si="1"/>
        <v>0</v>
      </c>
      <c r="O43" s="150"/>
    </row>
    <row r="44" spans="1:16">
      <c r="A44" s="872" t="s">
        <v>62</v>
      </c>
      <c r="B44" s="932">
        <v>0</v>
      </c>
      <c r="C44" s="889">
        <f t="shared" si="18"/>
        <v>0</v>
      </c>
      <c r="D44" s="889">
        <f t="shared" si="18"/>
        <v>0</v>
      </c>
      <c r="E44" s="889">
        <f t="shared" si="18"/>
        <v>0</v>
      </c>
      <c r="F44" s="889">
        <f t="shared" si="18"/>
        <v>0</v>
      </c>
      <c r="G44" s="889">
        <f t="shared" si="18"/>
        <v>0</v>
      </c>
      <c r="H44" s="889">
        <f t="shared" si="18"/>
        <v>0</v>
      </c>
      <c r="I44" s="889">
        <f t="shared" si="18"/>
        <v>0</v>
      </c>
      <c r="J44" s="889">
        <f t="shared" si="18"/>
        <v>0</v>
      </c>
      <c r="K44" s="889">
        <f t="shared" si="18"/>
        <v>0</v>
      </c>
      <c r="L44" s="889">
        <f t="shared" si="18"/>
        <v>0</v>
      </c>
      <c r="M44" s="889">
        <f t="shared" si="18"/>
        <v>0</v>
      </c>
      <c r="N44" s="890">
        <f t="shared" si="1"/>
        <v>0</v>
      </c>
      <c r="O44" s="150"/>
      <c r="P44" s="143" t="s">
        <v>582</v>
      </c>
    </row>
    <row r="45" spans="1:16">
      <c r="A45" s="872" t="s">
        <v>147</v>
      </c>
      <c r="B45" s="932">
        <v>3000</v>
      </c>
      <c r="C45" s="889">
        <f t="shared" si="18"/>
        <v>3000</v>
      </c>
      <c r="D45" s="889">
        <f t="shared" si="18"/>
        <v>3000</v>
      </c>
      <c r="E45" s="889">
        <f t="shared" si="18"/>
        <v>3000</v>
      </c>
      <c r="F45" s="889">
        <f t="shared" si="18"/>
        <v>3000</v>
      </c>
      <c r="G45" s="889">
        <f t="shared" si="18"/>
        <v>3000</v>
      </c>
      <c r="H45" s="889">
        <f t="shared" si="18"/>
        <v>3000</v>
      </c>
      <c r="I45" s="889">
        <f t="shared" si="18"/>
        <v>3000</v>
      </c>
      <c r="J45" s="889">
        <f t="shared" si="18"/>
        <v>3000</v>
      </c>
      <c r="K45" s="889">
        <f t="shared" si="18"/>
        <v>3000</v>
      </c>
      <c r="L45" s="889">
        <f t="shared" si="18"/>
        <v>3000</v>
      </c>
      <c r="M45" s="889">
        <v>0</v>
      </c>
      <c r="N45" s="890">
        <f t="shared" si="1"/>
        <v>33000</v>
      </c>
      <c r="O45" s="150"/>
      <c r="P45" s="1026">
        <v>11</v>
      </c>
    </row>
    <row r="46" spans="1:16">
      <c r="A46" s="881" t="s">
        <v>500</v>
      </c>
      <c r="B46" s="932">
        <v>0</v>
      </c>
      <c r="C46" s="889">
        <f t="shared" si="18"/>
        <v>0</v>
      </c>
      <c r="D46" s="889">
        <f t="shared" si="18"/>
        <v>0</v>
      </c>
      <c r="E46" s="889">
        <f t="shared" si="18"/>
        <v>0</v>
      </c>
      <c r="F46" s="889">
        <f t="shared" si="18"/>
        <v>0</v>
      </c>
      <c r="G46" s="889">
        <f t="shared" si="18"/>
        <v>0</v>
      </c>
      <c r="H46" s="889">
        <f t="shared" si="18"/>
        <v>0</v>
      </c>
      <c r="I46" s="889">
        <f t="shared" si="18"/>
        <v>0</v>
      </c>
      <c r="J46" s="889">
        <f t="shared" si="18"/>
        <v>0</v>
      </c>
      <c r="K46" s="889">
        <f t="shared" si="18"/>
        <v>0</v>
      </c>
      <c r="L46" s="889">
        <f t="shared" si="18"/>
        <v>0</v>
      </c>
      <c r="M46" s="889">
        <f t="shared" si="18"/>
        <v>0</v>
      </c>
      <c r="N46" s="890">
        <f>SUM(B46:M46)</f>
        <v>0</v>
      </c>
      <c r="O46" s="150"/>
    </row>
    <row r="47" spans="1:16">
      <c r="A47" s="882" t="s">
        <v>55</v>
      </c>
      <c r="B47" s="932">
        <v>0</v>
      </c>
      <c r="C47" s="889">
        <f t="shared" si="18"/>
        <v>0</v>
      </c>
      <c r="D47" s="889">
        <f t="shared" si="18"/>
        <v>0</v>
      </c>
      <c r="E47" s="889">
        <f t="shared" si="18"/>
        <v>0</v>
      </c>
      <c r="F47" s="889">
        <f t="shared" si="18"/>
        <v>0</v>
      </c>
      <c r="G47" s="889">
        <f t="shared" si="18"/>
        <v>0</v>
      </c>
      <c r="H47" s="889">
        <f t="shared" si="18"/>
        <v>0</v>
      </c>
      <c r="I47" s="889">
        <f t="shared" si="18"/>
        <v>0</v>
      </c>
      <c r="J47" s="889">
        <f t="shared" si="18"/>
        <v>0</v>
      </c>
      <c r="K47" s="889">
        <f t="shared" si="18"/>
        <v>0</v>
      </c>
      <c r="L47" s="889">
        <f t="shared" si="18"/>
        <v>0</v>
      </c>
      <c r="M47" s="889">
        <f t="shared" si="18"/>
        <v>0</v>
      </c>
      <c r="N47" s="890">
        <f t="shared" si="1"/>
        <v>0</v>
      </c>
      <c r="O47" s="150"/>
    </row>
    <row r="48" spans="1:16">
      <c r="A48" s="883" t="s">
        <v>178</v>
      </c>
      <c r="B48" s="936">
        <f>SUM(B27:B47)</f>
        <v>5600</v>
      </c>
      <c r="C48" s="897">
        <f>SUM(C27:C47)</f>
        <v>5600</v>
      </c>
      <c r="D48" s="897">
        <f t="shared" ref="D48:M48" si="19">SUM(D27:D47)</f>
        <v>5600</v>
      </c>
      <c r="E48" s="897">
        <f t="shared" si="19"/>
        <v>5600</v>
      </c>
      <c r="F48" s="897">
        <f t="shared" si="19"/>
        <v>5600</v>
      </c>
      <c r="G48" s="897">
        <f t="shared" si="19"/>
        <v>5600</v>
      </c>
      <c r="H48" s="897">
        <f t="shared" si="19"/>
        <v>5600</v>
      </c>
      <c r="I48" s="897">
        <f t="shared" si="19"/>
        <v>5600</v>
      </c>
      <c r="J48" s="897">
        <f t="shared" si="19"/>
        <v>5600</v>
      </c>
      <c r="K48" s="897">
        <f t="shared" si="19"/>
        <v>5600</v>
      </c>
      <c r="L48" s="897">
        <f t="shared" si="19"/>
        <v>5600</v>
      </c>
      <c r="M48" s="897">
        <f t="shared" si="19"/>
        <v>2600</v>
      </c>
      <c r="N48" s="897">
        <f t="shared" si="1"/>
        <v>64200</v>
      </c>
      <c r="O48" s="150"/>
    </row>
    <row r="49" spans="1:15">
      <c r="A49" s="883" t="s">
        <v>187</v>
      </c>
      <c r="B49" s="936">
        <f t="shared" ref="B49:M49" si="20">B26-B48</f>
        <v>54760</v>
      </c>
      <c r="C49" s="897">
        <f t="shared" si="20"/>
        <v>54760</v>
      </c>
      <c r="D49" s="897">
        <f t="shared" si="20"/>
        <v>54760</v>
      </c>
      <c r="E49" s="897">
        <f t="shared" si="20"/>
        <v>54760</v>
      </c>
      <c r="F49" s="897">
        <f t="shared" si="20"/>
        <v>54760</v>
      </c>
      <c r="G49" s="897">
        <f t="shared" si="20"/>
        <v>54760</v>
      </c>
      <c r="H49" s="897">
        <f t="shared" si="20"/>
        <v>54760</v>
      </c>
      <c r="I49" s="897">
        <f t="shared" si="20"/>
        <v>136846</v>
      </c>
      <c r="J49" s="897">
        <f t="shared" si="20"/>
        <v>72610</v>
      </c>
      <c r="K49" s="897">
        <f t="shared" si="20"/>
        <v>54760</v>
      </c>
      <c r="L49" s="897">
        <f t="shared" si="20"/>
        <v>54760</v>
      </c>
      <c r="M49" s="897">
        <f t="shared" si="20"/>
        <v>57760</v>
      </c>
      <c r="N49" s="897">
        <f t="shared" si="1"/>
        <v>760056</v>
      </c>
      <c r="O49" s="150"/>
    </row>
    <row r="50" spans="1:15">
      <c r="A50" s="874" t="s">
        <v>447</v>
      </c>
      <c r="B50" s="1072">
        <v>1</v>
      </c>
      <c r="C50" s="1072">
        <v>154</v>
      </c>
      <c r="D50" s="1072">
        <v>401</v>
      </c>
      <c r="E50" s="1072">
        <v>640</v>
      </c>
      <c r="F50" s="1072">
        <v>955</v>
      </c>
      <c r="G50" s="1072">
        <v>1412</v>
      </c>
      <c r="H50" s="1072">
        <v>1726</v>
      </c>
      <c r="I50" s="1072">
        <v>2131</v>
      </c>
      <c r="J50" s="1072">
        <v>2577</v>
      </c>
      <c r="K50" s="1072">
        <v>2903</v>
      </c>
      <c r="L50" s="1072">
        <v>3197</v>
      </c>
      <c r="M50" s="1072">
        <v>3198</v>
      </c>
      <c r="N50" s="878"/>
      <c r="O50" s="150"/>
    </row>
    <row r="51" spans="1:15">
      <c r="A51" s="874" t="s">
        <v>67</v>
      </c>
      <c r="B51" s="1145">
        <f>C5</f>
        <v>44287</v>
      </c>
      <c r="C51" s="1145">
        <f t="shared" ref="C51:L51" si="21">D5</f>
        <v>44317</v>
      </c>
      <c r="D51" s="1145">
        <f t="shared" si="21"/>
        <v>44348</v>
      </c>
      <c r="E51" s="1145">
        <f t="shared" si="21"/>
        <v>44378</v>
      </c>
      <c r="F51" s="1145">
        <f t="shared" si="21"/>
        <v>44409</v>
      </c>
      <c r="G51" s="1145">
        <f t="shared" si="21"/>
        <v>44440</v>
      </c>
      <c r="H51" s="1145">
        <f t="shared" si="21"/>
        <v>44470</v>
      </c>
      <c r="I51" s="1145">
        <f t="shared" si="21"/>
        <v>44501</v>
      </c>
      <c r="J51" s="1145">
        <f t="shared" si="21"/>
        <v>44531</v>
      </c>
      <c r="K51" s="1145">
        <f t="shared" si="21"/>
        <v>44562</v>
      </c>
      <c r="L51" s="1145">
        <f t="shared" si="21"/>
        <v>44593</v>
      </c>
      <c r="M51" s="1145">
        <f>L51+30</f>
        <v>44623</v>
      </c>
      <c r="N51" s="878"/>
      <c r="O51" s="150"/>
    </row>
    <row r="52" spans="1:15" s="788" customFormat="1" ht="17.100000000000001" customHeight="1">
      <c r="B52" s="795"/>
      <c r="C52" s="795"/>
      <c r="D52" s="795"/>
      <c r="E52" s="795"/>
      <c r="F52" s="795"/>
      <c r="G52" s="795"/>
      <c r="H52" s="795"/>
      <c r="I52" s="795"/>
      <c r="J52" s="795"/>
      <c r="K52" s="795"/>
      <c r="L52" s="795"/>
      <c r="M52" s="795"/>
      <c r="N52" s="794"/>
    </row>
    <row r="53" spans="1:15" s="788" customFormat="1" ht="17.100000000000001" hidden="1" customHeight="1">
      <c r="B53" s="792"/>
      <c r="C53" s="792"/>
      <c r="D53" s="792"/>
      <c r="E53" s="792"/>
      <c r="F53" s="792"/>
      <c r="G53" s="792"/>
      <c r="H53" s="792"/>
      <c r="I53" s="793"/>
      <c r="J53" s="792"/>
      <c r="K53" s="792"/>
      <c r="L53" s="792"/>
      <c r="M53" s="792"/>
      <c r="N53" s="794"/>
    </row>
    <row r="54" spans="1:15" s="788" customFormat="1" ht="17.100000000000001" hidden="1" customHeight="1">
      <c r="B54" s="795"/>
      <c r="C54" s="795"/>
      <c r="D54" s="795"/>
      <c r="E54" s="795"/>
      <c r="F54" s="795"/>
      <c r="G54" s="795"/>
      <c r="H54" s="795"/>
      <c r="I54" s="795"/>
      <c r="J54" s="795"/>
      <c r="K54" s="795"/>
      <c r="L54" s="795"/>
      <c r="M54" s="795"/>
      <c r="N54" s="794"/>
    </row>
    <row r="55" spans="1:15" s="788" customFormat="1" ht="17.100000000000001" hidden="1" customHeight="1">
      <c r="B55" s="792"/>
      <c r="C55" s="796"/>
      <c r="D55" s="792"/>
      <c r="E55" s="792"/>
      <c r="F55" s="792"/>
      <c r="G55" s="792"/>
      <c r="H55" s="792"/>
      <c r="I55" s="792"/>
      <c r="J55" s="792"/>
      <c r="K55" s="792"/>
      <c r="L55" s="792"/>
      <c r="M55" s="792"/>
      <c r="N55" s="794"/>
    </row>
    <row r="56" spans="1:15" s="788" customFormat="1" ht="17.100000000000001" hidden="1" customHeight="1">
      <c r="B56" s="795"/>
      <c r="C56" s="795"/>
      <c r="D56" s="795"/>
      <c r="E56" s="795"/>
      <c r="F56" s="795"/>
      <c r="G56" s="795"/>
      <c r="H56" s="795"/>
      <c r="I56" s="795"/>
      <c r="J56" s="795"/>
      <c r="K56" s="795"/>
      <c r="L56" s="795"/>
      <c r="M56" s="795"/>
      <c r="N56" s="794"/>
    </row>
    <row r="57" spans="1:15" s="788" customFormat="1" ht="17.100000000000001" hidden="1" customHeight="1">
      <c r="B57" s="789"/>
      <c r="C57" s="790"/>
      <c r="D57" s="790"/>
      <c r="E57" s="790"/>
      <c r="F57" s="790"/>
      <c r="G57" s="790"/>
      <c r="H57" s="790"/>
      <c r="I57" s="790"/>
      <c r="J57" s="790"/>
      <c r="K57" s="790"/>
      <c r="L57" s="790"/>
      <c r="M57" s="790"/>
    </row>
    <row r="58" spans="1:15" s="788" customFormat="1" ht="17.100000000000001" hidden="1" customHeight="1">
      <c r="B58" s="790"/>
      <c r="C58" s="790"/>
      <c r="D58" s="790"/>
      <c r="E58" s="790"/>
      <c r="F58" s="790"/>
      <c r="G58" s="790"/>
      <c r="H58" s="790"/>
      <c r="I58" s="791"/>
      <c r="J58" s="790"/>
      <c r="K58" s="790"/>
      <c r="L58" s="790"/>
      <c r="M58" s="790"/>
    </row>
    <row r="59" spans="1:15" s="788" customFormat="1" hidden="1">
      <c r="B59" s="790"/>
      <c r="C59" s="790"/>
      <c r="D59" s="790"/>
      <c r="E59" s="790"/>
      <c r="F59" s="790"/>
      <c r="G59" s="790"/>
      <c r="H59" s="790"/>
      <c r="I59" s="791"/>
      <c r="J59" s="790"/>
      <c r="K59" s="790"/>
      <c r="L59" s="790"/>
      <c r="M59" s="790"/>
    </row>
    <row r="60" spans="1:15" s="788" customFormat="1" hidden="1">
      <c r="B60" s="790"/>
      <c r="C60" s="790"/>
      <c r="D60" s="790"/>
      <c r="E60" s="790"/>
      <c r="F60" s="790"/>
      <c r="G60" s="790"/>
      <c r="H60" s="790"/>
      <c r="I60" s="790"/>
      <c r="J60" s="790"/>
      <c r="K60" s="790"/>
      <c r="L60" s="790"/>
      <c r="M60" s="790"/>
    </row>
    <row r="61" spans="1:15" s="788" customFormat="1" hidden="1">
      <c r="B61" s="790"/>
      <c r="C61" s="790"/>
      <c r="D61" s="790"/>
      <c r="E61" s="790"/>
      <c r="F61" s="790"/>
      <c r="G61" s="790"/>
      <c r="H61" s="790"/>
      <c r="I61" s="790"/>
      <c r="J61" s="790"/>
      <c r="K61" s="790"/>
      <c r="L61" s="790"/>
      <c r="M61" s="790"/>
    </row>
    <row r="62" spans="1:15" s="788" customFormat="1" hidden="1">
      <c r="B62" s="790"/>
      <c r="C62" s="790"/>
      <c r="D62" s="790"/>
      <c r="E62" s="790"/>
      <c r="F62" s="790"/>
      <c r="G62" s="790"/>
      <c r="H62" s="790"/>
      <c r="I62" s="790"/>
      <c r="J62" s="790"/>
      <c r="K62" s="790"/>
      <c r="L62" s="790"/>
      <c r="M62" s="790"/>
    </row>
    <row r="63" spans="1:15" s="788" customFormat="1" hidden="1">
      <c r="B63" s="790"/>
      <c r="C63" s="790"/>
      <c r="D63" s="790"/>
      <c r="E63" s="790"/>
      <c r="F63" s="790"/>
      <c r="G63" s="790"/>
      <c r="H63" s="790"/>
      <c r="I63" s="790"/>
      <c r="J63" s="790"/>
      <c r="K63" s="790"/>
      <c r="L63" s="790"/>
      <c r="M63" s="790"/>
    </row>
    <row r="64" spans="1:15" s="788" customFormat="1" hidden="1">
      <c r="B64" s="790"/>
      <c r="C64" s="790"/>
      <c r="D64" s="790"/>
      <c r="E64" s="790"/>
      <c r="F64" s="790"/>
      <c r="G64" s="790"/>
      <c r="H64" s="790"/>
      <c r="I64" s="790"/>
      <c r="J64" s="790"/>
      <c r="K64" s="790"/>
      <c r="L64" s="790"/>
      <c r="M64" s="790"/>
    </row>
    <row r="65" spans="2:13" s="788" customFormat="1" hidden="1">
      <c r="B65" s="790"/>
      <c r="C65" s="790"/>
      <c r="D65" s="790"/>
      <c r="E65" s="790"/>
      <c r="F65" s="790"/>
      <c r="G65" s="790"/>
      <c r="H65" s="790"/>
      <c r="I65" s="790"/>
      <c r="J65" s="790"/>
      <c r="K65" s="790"/>
      <c r="L65" s="790"/>
      <c r="M65" s="790"/>
    </row>
    <row r="66" spans="2:13" s="788" customFormat="1" hidden="1">
      <c r="B66" s="790"/>
      <c r="C66" s="790"/>
      <c r="D66" s="790"/>
      <c r="E66" s="790"/>
      <c r="F66" s="790"/>
      <c r="G66" s="790"/>
      <c r="H66" s="790"/>
      <c r="I66" s="790"/>
      <c r="J66" s="790"/>
      <c r="K66" s="790"/>
      <c r="L66" s="790"/>
      <c r="M66" s="790"/>
    </row>
    <row r="67" spans="2:13" s="788" customFormat="1" hidden="1">
      <c r="B67" s="790"/>
      <c r="C67" s="790"/>
      <c r="D67" s="790"/>
      <c r="E67" s="790"/>
      <c r="F67" s="790"/>
      <c r="G67" s="790"/>
      <c r="H67" s="790"/>
      <c r="I67" s="790"/>
      <c r="J67" s="790"/>
      <c r="K67" s="790"/>
      <c r="L67" s="790"/>
      <c r="M67" s="790"/>
    </row>
    <row r="68" spans="2:13" s="788" customFormat="1" hidden="1">
      <c r="B68" s="790"/>
      <c r="C68" s="790"/>
      <c r="D68" s="790"/>
      <c r="E68" s="790"/>
      <c r="F68" s="790"/>
      <c r="G68" s="790"/>
      <c r="H68" s="790"/>
      <c r="I68" s="790"/>
      <c r="J68" s="790"/>
      <c r="K68" s="790"/>
      <c r="L68" s="790"/>
      <c r="M68" s="790"/>
    </row>
    <row r="69" spans="2:13" s="788" customFormat="1" hidden="1">
      <c r="B69" s="790"/>
      <c r="C69" s="790"/>
      <c r="D69" s="790"/>
      <c r="E69" s="790"/>
      <c r="F69" s="790"/>
      <c r="G69" s="790"/>
      <c r="H69" s="790"/>
      <c r="I69" s="790"/>
      <c r="J69" s="790"/>
      <c r="K69" s="790"/>
      <c r="L69" s="790"/>
      <c r="M69" s="790"/>
    </row>
    <row r="70" spans="2:13" s="788" customFormat="1" hidden="1">
      <c r="B70" s="790"/>
      <c r="C70" s="790"/>
      <c r="D70" s="790"/>
      <c r="E70" s="790"/>
      <c r="F70" s="790"/>
      <c r="G70" s="790"/>
      <c r="H70" s="790"/>
      <c r="I70" s="790"/>
      <c r="J70" s="790"/>
      <c r="K70" s="790"/>
      <c r="L70" s="790"/>
      <c r="M70" s="790"/>
    </row>
    <row r="71" spans="2:13" s="788" customFormat="1" hidden="1">
      <c r="B71" s="790"/>
      <c r="C71" s="790"/>
      <c r="D71" s="790"/>
      <c r="E71" s="790"/>
      <c r="F71" s="790"/>
      <c r="G71" s="790"/>
      <c r="H71" s="790"/>
      <c r="I71" s="790"/>
      <c r="J71" s="790"/>
      <c r="K71" s="790"/>
      <c r="L71" s="790"/>
      <c r="M71" s="790"/>
    </row>
    <row r="72" spans="2:13" s="788" customFormat="1" hidden="1">
      <c r="B72" s="790"/>
      <c r="C72" s="790"/>
      <c r="D72" s="790"/>
      <c r="E72" s="790"/>
      <c r="F72" s="790"/>
      <c r="G72" s="790"/>
      <c r="H72" s="790"/>
      <c r="I72" s="790"/>
      <c r="J72" s="790"/>
      <c r="K72" s="790"/>
      <c r="L72" s="790"/>
      <c r="M72" s="790"/>
    </row>
    <row r="73" spans="2:13" s="788" customFormat="1" hidden="1">
      <c r="B73" s="790"/>
      <c r="C73" s="790"/>
      <c r="D73" s="790"/>
      <c r="E73" s="790"/>
      <c r="F73" s="790"/>
      <c r="G73" s="790"/>
      <c r="H73" s="790"/>
      <c r="I73" s="790"/>
      <c r="J73" s="790"/>
      <c r="K73" s="790"/>
      <c r="L73" s="790"/>
      <c r="M73" s="790"/>
    </row>
    <row r="74" spans="2:13" s="788" customFormat="1" hidden="1">
      <c r="B74" s="790"/>
      <c r="C74" s="790"/>
      <c r="D74" s="790"/>
      <c r="E74" s="790"/>
      <c r="F74" s="790"/>
      <c r="G74" s="790"/>
      <c r="H74" s="790"/>
      <c r="I74" s="790"/>
      <c r="J74" s="790"/>
      <c r="K74" s="790"/>
      <c r="L74" s="790"/>
      <c r="M74" s="790"/>
    </row>
    <row r="75" spans="2:13" s="788" customFormat="1" hidden="1">
      <c r="B75" s="790"/>
      <c r="C75" s="790"/>
      <c r="D75" s="790"/>
      <c r="E75" s="790"/>
      <c r="F75" s="790"/>
      <c r="G75" s="790"/>
      <c r="H75" s="790"/>
      <c r="I75" s="790"/>
      <c r="J75" s="790"/>
      <c r="K75" s="790"/>
      <c r="L75" s="790"/>
      <c r="M75" s="790"/>
    </row>
    <row r="76" spans="2:13" s="788" customFormat="1" hidden="1">
      <c r="B76" s="790"/>
      <c r="C76" s="790"/>
      <c r="D76" s="790"/>
      <c r="E76" s="790"/>
      <c r="F76" s="790"/>
      <c r="G76" s="790"/>
      <c r="H76" s="790"/>
      <c r="I76" s="790"/>
      <c r="J76" s="790"/>
      <c r="K76" s="790"/>
      <c r="L76" s="790"/>
      <c r="M76" s="790"/>
    </row>
    <row r="77" spans="2:13" s="788" customFormat="1" hidden="1">
      <c r="B77" s="790"/>
      <c r="C77" s="790"/>
      <c r="D77" s="790"/>
      <c r="E77" s="790"/>
      <c r="F77" s="790"/>
      <c r="G77" s="790"/>
      <c r="H77" s="790"/>
      <c r="I77" s="790"/>
      <c r="J77" s="790"/>
      <c r="K77" s="790"/>
      <c r="L77" s="790"/>
      <c r="M77" s="790"/>
    </row>
    <row r="78" spans="2:13" s="788" customFormat="1" hidden="1">
      <c r="B78" s="790"/>
      <c r="C78" s="790"/>
      <c r="D78" s="790"/>
      <c r="E78" s="790"/>
      <c r="F78" s="790"/>
      <c r="G78" s="790"/>
      <c r="H78" s="790"/>
      <c r="I78" s="790"/>
      <c r="J78" s="790"/>
      <c r="K78" s="790"/>
      <c r="L78" s="790"/>
      <c r="M78" s="790"/>
    </row>
    <row r="79" spans="2:13" s="788" customFormat="1" hidden="1">
      <c r="B79" s="790"/>
      <c r="C79" s="790"/>
      <c r="D79" s="790"/>
      <c r="E79" s="790"/>
      <c r="F79" s="790"/>
      <c r="G79" s="790"/>
      <c r="H79" s="790"/>
      <c r="I79" s="790"/>
      <c r="J79" s="790"/>
      <c r="K79" s="790"/>
      <c r="L79" s="790"/>
      <c r="M79" s="790"/>
    </row>
    <row r="80" spans="2:13" s="788" customFormat="1" hidden="1">
      <c r="B80" s="790"/>
      <c r="C80" s="790"/>
      <c r="D80" s="790"/>
      <c r="E80" s="790"/>
      <c r="F80" s="790"/>
      <c r="G80" s="790"/>
      <c r="H80" s="790"/>
      <c r="I80" s="790"/>
      <c r="J80" s="790"/>
      <c r="K80" s="790"/>
      <c r="L80" s="790"/>
      <c r="M80" s="790"/>
    </row>
    <row r="81" spans="2:13" s="788" customFormat="1" hidden="1">
      <c r="B81" s="790"/>
      <c r="C81" s="790"/>
      <c r="D81" s="790"/>
      <c r="E81" s="790"/>
      <c r="F81" s="790"/>
      <c r="G81" s="790"/>
      <c r="H81" s="790"/>
      <c r="I81" s="790"/>
      <c r="J81" s="790"/>
      <c r="K81" s="790"/>
      <c r="L81" s="790"/>
      <c r="M81" s="790"/>
    </row>
    <row r="82" spans="2:13" s="788" customFormat="1" hidden="1">
      <c r="B82" s="790"/>
      <c r="C82" s="790"/>
      <c r="D82" s="790"/>
      <c r="E82" s="790"/>
      <c r="F82" s="790"/>
      <c r="G82" s="790"/>
      <c r="H82" s="790"/>
      <c r="I82" s="790"/>
      <c r="J82" s="790"/>
      <c r="K82" s="790"/>
      <c r="L82" s="790"/>
      <c r="M82" s="790"/>
    </row>
    <row r="83" spans="2:13" s="788" customFormat="1" hidden="1">
      <c r="B83" s="790"/>
      <c r="C83" s="790"/>
      <c r="D83" s="790"/>
      <c r="E83" s="790"/>
      <c r="F83" s="790"/>
      <c r="G83" s="790"/>
      <c r="H83" s="790"/>
      <c r="I83" s="790"/>
      <c r="J83" s="790"/>
      <c r="K83" s="790"/>
      <c r="L83" s="790"/>
      <c r="M83" s="790"/>
    </row>
    <row r="84" spans="2:13" hidden="1"/>
    <row r="85" spans="2:13" hidden="1"/>
    <row r="86" spans="2:13" hidden="1"/>
    <row r="87" spans="2:13" hidden="1"/>
    <row r="88" spans="2:13" hidden="1"/>
    <row r="89" spans="2:13" hidden="1"/>
    <row r="90" spans="2:13" hidden="1"/>
    <row r="91" spans="2:13" hidden="1"/>
    <row r="92" spans="2:13" hidden="1"/>
    <row r="93" spans="2:13" hidden="1"/>
    <row r="94" spans="2:13" hidden="1"/>
    <row r="95" spans="2:13" hidden="1"/>
    <row r="96" spans="2:1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/>
  </sheetData>
  <sheetProtection password="CCFF" sheet="1" objects="1" scenarios="1" formatCells="0" formatColumns="0" formatRows="0" insertColumns="0" insertRows="0"/>
  <mergeCells count="3">
    <mergeCell ref="B3:E3"/>
    <mergeCell ref="A1:D1"/>
    <mergeCell ref="A2:C2"/>
  </mergeCells>
  <phoneticPr fontId="20" type="noConversion"/>
  <hyperlinks>
    <hyperlink ref="A2:C2" location="MainMenu!A1" display="Click here for Back to Main Menu"/>
  </hyperlinks>
  <printOptions horizontalCentered="1"/>
  <pageMargins left="0" right="0" top="0.5" bottom="0.39370078740157499" header="0.23622047244094499" footer="0.196850393700787"/>
  <pageSetup paperSize="9" scale="78" orientation="landscape" horizontalDpi="1200" verticalDpi="1200" r:id="rId1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indexed="39"/>
    <pageSetUpPr fitToPage="1"/>
  </sheetPr>
  <dimension ref="A1:AQ182"/>
  <sheetViews>
    <sheetView showGridLines="0" showRowColHeaders="0" zoomScaleSheetLayoutView="100" workbookViewId="0">
      <selection sqref="A1:I1"/>
    </sheetView>
  </sheetViews>
  <sheetFormatPr defaultColWidth="0" defaultRowHeight="21.75" customHeight="1" zeroHeight="1"/>
  <cols>
    <col min="1" max="1" width="1" style="8" customWidth="1"/>
    <col min="2" max="2" width="0.5" style="8" customWidth="1"/>
    <col min="3" max="3" width="8.5" style="8" customWidth="1"/>
    <col min="4" max="4" width="5.75" style="8" customWidth="1"/>
    <col min="5" max="7" width="4.25" style="8" customWidth="1"/>
    <col min="8" max="8" width="5.125" style="8" customWidth="1"/>
    <col min="9" max="10" width="4.25" style="8" customWidth="1"/>
    <col min="11" max="11" width="4.625" style="8" customWidth="1"/>
    <col min="12" max="17" width="4.25" style="8" customWidth="1"/>
    <col min="18" max="18" width="3.25" style="8" customWidth="1"/>
    <col min="19" max="19" width="4.625" style="8" customWidth="1"/>
    <col min="20" max="20" width="7.625" style="8" customWidth="1"/>
    <col min="21" max="21" width="4.625" style="8" customWidth="1"/>
    <col min="22" max="22" width="2.625" style="8" customWidth="1"/>
    <col min="23" max="24" width="3.125" style="8" customWidth="1"/>
    <col min="25" max="25" width="1.125" style="8" customWidth="1"/>
    <col min="26" max="26" width="1.5" style="8" customWidth="1"/>
    <col min="27" max="43" width="3.875" style="8" hidden="1" customWidth="1"/>
    <col min="44" max="16384" width="9" style="8" hidden="1"/>
  </cols>
  <sheetData>
    <row r="1" spans="1:26" s="1" customFormat="1" ht="39.75" customHeight="1" thickBot="1">
      <c r="A1" s="1257" t="s">
        <v>90</v>
      </c>
      <c r="B1" s="1257"/>
      <c r="C1" s="1257"/>
      <c r="D1" s="1257"/>
      <c r="E1" s="1257"/>
      <c r="F1" s="1257"/>
      <c r="G1" s="1257"/>
      <c r="H1" s="1257"/>
      <c r="I1" s="1257"/>
      <c r="J1" s="1255" t="s">
        <v>9</v>
      </c>
      <c r="K1" s="1255"/>
      <c r="L1" s="1255"/>
      <c r="M1" s="1255"/>
      <c r="N1" s="1255"/>
      <c r="O1" s="1255"/>
      <c r="P1" s="1255"/>
      <c r="Q1" s="1255"/>
      <c r="R1" s="1258"/>
      <c r="S1" s="1259"/>
      <c r="T1" s="1259"/>
      <c r="U1" s="1259"/>
      <c r="V1" s="1259"/>
      <c r="W1" s="1259"/>
      <c r="X1" s="1259"/>
      <c r="Y1" s="1259"/>
      <c r="Z1" s="1259"/>
    </row>
    <row r="2" spans="1:26" s="822" customFormat="1" ht="20.25" customHeight="1" thickTop="1" thickBot="1">
      <c r="A2" s="129"/>
      <c r="B2" s="129"/>
      <c r="C2" s="129"/>
      <c r="D2" s="139" t="s">
        <v>474</v>
      </c>
      <c r="E2" s="135"/>
      <c r="F2" s="135"/>
      <c r="G2" s="135"/>
      <c r="H2" s="135"/>
      <c r="I2" s="135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7"/>
      <c r="U2" s="137"/>
      <c r="V2" s="137"/>
      <c r="W2" s="138"/>
      <c r="X2" s="134"/>
      <c r="Y2" s="821"/>
      <c r="Z2" s="821"/>
    </row>
    <row r="3" spans="1:26" s="823" customFormat="1" ht="4.5" customHeight="1" thickTop="1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6" s="861" customFormat="1" ht="26.25" customHeight="1">
      <c r="A4" s="48"/>
      <c r="B4" s="48"/>
      <c r="C4" s="859"/>
      <c r="D4" s="859"/>
      <c r="E4" s="859"/>
      <c r="F4" s="859"/>
      <c r="G4" s="859"/>
      <c r="H4" s="859"/>
      <c r="I4" s="859"/>
      <c r="J4" s="859"/>
      <c r="K4" s="859"/>
      <c r="L4" s="859"/>
      <c r="M4" s="859"/>
      <c r="N4" s="859"/>
      <c r="O4" s="859"/>
      <c r="P4" s="859"/>
      <c r="Q4" s="859"/>
      <c r="R4" s="859"/>
      <c r="S4" s="859"/>
      <c r="T4" s="860" t="s">
        <v>32</v>
      </c>
      <c r="U4" s="1263">
        <f>'Master Deails'!C2</f>
        <v>44256</v>
      </c>
      <c r="V4" s="1263"/>
      <c r="W4" s="1264">
        <f>'Master Deails'!E2</f>
        <v>44562</v>
      </c>
      <c r="X4" s="1264"/>
    </row>
    <row r="5" spans="1:26" s="823" customFormat="1" ht="1.5" customHeight="1">
      <c r="A5" s="31"/>
      <c r="B5" s="31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6" s="861" customFormat="1" ht="26.25" customHeight="1">
      <c r="A6" s="48"/>
      <c r="B6" s="48"/>
      <c r="C6" s="1260" t="s">
        <v>56</v>
      </c>
      <c r="D6" s="1261"/>
      <c r="E6" s="1261"/>
      <c r="F6" s="1262"/>
      <c r="G6" s="1256" t="str">
        <f>'Master Deails'!A7</f>
        <v>SHRI K J PATEL</v>
      </c>
      <c r="H6" s="1256"/>
      <c r="I6" s="1256"/>
      <c r="J6" s="1256"/>
      <c r="K6" s="1256"/>
      <c r="L6" s="1256"/>
      <c r="M6" s="1256"/>
      <c r="N6" s="1256"/>
      <c r="O6" s="1256"/>
      <c r="P6" s="1256"/>
      <c r="Q6" s="1256"/>
      <c r="R6" s="1256"/>
      <c r="S6" s="1256"/>
      <c r="T6" s="1256"/>
      <c r="U6" s="1256"/>
      <c r="V6" s="1256"/>
      <c r="W6" s="1256"/>
      <c r="X6" s="1256"/>
    </row>
    <row r="7" spans="1:26" s="861" customFormat="1" ht="26.25" customHeight="1">
      <c r="A7" s="48"/>
      <c r="B7" s="48"/>
      <c r="C7" s="1260" t="s">
        <v>93</v>
      </c>
      <c r="D7" s="1261"/>
      <c r="E7" s="1261"/>
      <c r="F7" s="1262"/>
      <c r="G7" s="1256" t="str">
        <f>'Master Deails'!A18</f>
        <v>RETIRED PS 2 DDO DANGS</v>
      </c>
      <c r="H7" s="1256"/>
      <c r="I7" s="1256"/>
      <c r="J7" s="1256"/>
      <c r="K7" s="1256"/>
      <c r="L7" s="1256"/>
      <c r="M7" s="1256"/>
      <c r="N7" s="1256"/>
      <c r="O7" s="1256"/>
      <c r="P7" s="1256"/>
      <c r="Q7" s="1256"/>
      <c r="R7" s="1256"/>
      <c r="S7" s="1256"/>
      <c r="T7" s="1256"/>
      <c r="U7" s="1256"/>
      <c r="V7" s="1256"/>
      <c r="W7" s="1256"/>
      <c r="X7" s="1256"/>
    </row>
    <row r="8" spans="1:26" ht="2.25" customHeight="1">
      <c r="A8" s="31"/>
      <c r="B8" s="34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4"/>
      <c r="Z8" s="31"/>
    </row>
    <row r="9" spans="1:26" s="50" customFormat="1" ht="21" hidden="1" customHeight="1">
      <c r="A9" s="48"/>
      <c r="B9" s="749"/>
      <c r="C9" s="1265" t="s">
        <v>143</v>
      </c>
      <c r="D9" s="1266"/>
      <c r="E9" s="667" t="s">
        <v>144</v>
      </c>
      <c r="F9" s="668"/>
      <c r="G9" s="668"/>
      <c r="H9" s="668"/>
      <c r="I9" s="668"/>
      <c r="J9" s="668"/>
      <c r="K9" s="668"/>
      <c r="L9" s="668"/>
      <c r="M9" s="668"/>
      <c r="N9" s="668"/>
      <c r="O9" s="668"/>
      <c r="P9" s="668"/>
      <c r="Q9" s="668"/>
      <c r="R9" s="668"/>
      <c r="S9" s="668"/>
      <c r="T9" s="668"/>
      <c r="U9" s="668"/>
      <c r="V9" s="668"/>
      <c r="W9" s="668"/>
      <c r="X9" s="669"/>
      <c r="Y9" s="49"/>
      <c r="Z9" s="48"/>
    </row>
    <row r="10" spans="1:26" s="50" customFormat="1" ht="50.25" hidden="1" customHeight="1">
      <c r="A10" s="48"/>
      <c r="B10" s="731"/>
      <c r="C10" s="1267"/>
      <c r="D10" s="1268"/>
      <c r="E10" s="1269" t="s">
        <v>83</v>
      </c>
      <c r="F10" s="1269"/>
      <c r="G10" s="1249" t="s">
        <v>155</v>
      </c>
      <c r="H10" s="1249"/>
      <c r="I10" s="1249" t="s">
        <v>145</v>
      </c>
      <c r="J10" s="1249"/>
      <c r="K10" s="1249" t="str">
        <f>'Earning- Salary'!A36</f>
        <v>GPF (Without NPS)</v>
      </c>
      <c r="L10" s="1249"/>
      <c r="M10" s="1252" t="s">
        <v>133</v>
      </c>
      <c r="N10" s="1252"/>
      <c r="O10" s="1249" t="s">
        <v>135</v>
      </c>
      <c r="P10" s="1249"/>
      <c r="Q10" s="1249" t="s">
        <v>154</v>
      </c>
      <c r="R10" s="1249"/>
      <c r="S10" s="554" t="s">
        <v>146</v>
      </c>
      <c r="T10" s="554" t="s">
        <v>153</v>
      </c>
      <c r="U10" s="1249" t="s">
        <v>157</v>
      </c>
      <c r="V10" s="1249"/>
      <c r="W10" s="1249" t="s">
        <v>147</v>
      </c>
      <c r="X10" s="1249"/>
      <c r="Y10" s="49"/>
      <c r="Z10" s="48"/>
    </row>
    <row r="11" spans="1:26" s="50" customFormat="1" ht="21" hidden="1" customHeight="1">
      <c r="A11" s="48"/>
      <c r="B11" s="49"/>
      <c r="C11" s="1253">
        <f>'Master Deails'!C2</f>
        <v>44256</v>
      </c>
      <c r="D11" s="1254"/>
      <c r="E11" s="1274">
        <f>'Earning- Salary'!B26</f>
        <v>60360</v>
      </c>
      <c r="F11" s="1275"/>
      <c r="G11" s="1274">
        <f>'Earning- Salary'!B41</f>
        <v>200</v>
      </c>
      <c r="H11" s="1275"/>
      <c r="I11" s="1247">
        <f>'Earning- Salary'!B16</f>
        <v>10</v>
      </c>
      <c r="J11" s="1248"/>
      <c r="K11" s="1247">
        <f>'Earning- Salary'!B36+'Earning- Salary'!B37+'Earning- Salary'!B38</f>
        <v>2000</v>
      </c>
      <c r="L11" s="1248"/>
      <c r="M11" s="1247">
        <f>'Earning- Salary'!B42</f>
        <v>400</v>
      </c>
      <c r="N11" s="1248"/>
      <c r="O11" s="1247">
        <f>'Earning- Salary'!B44</f>
        <v>0</v>
      </c>
      <c r="P11" s="1248"/>
      <c r="Q11" s="1247">
        <f>'Earning- Salary'!B31</f>
        <v>0</v>
      </c>
      <c r="R11" s="1248"/>
      <c r="S11" s="402">
        <f>'Earning- Salary'!B15</f>
        <v>0</v>
      </c>
      <c r="T11" s="402">
        <f>'Earning- Salary'!B18</f>
        <v>0</v>
      </c>
      <c r="U11" s="1247">
        <f>'Earning- Salary'!B43</f>
        <v>0</v>
      </c>
      <c r="V11" s="1248"/>
      <c r="W11" s="1247">
        <f>'Earning- Salary'!B45</f>
        <v>3000</v>
      </c>
      <c r="X11" s="1248"/>
      <c r="Y11" s="49"/>
      <c r="Z11" s="48"/>
    </row>
    <row r="12" spans="1:26" s="50" customFormat="1" ht="21" hidden="1" customHeight="1">
      <c r="A12" s="48"/>
      <c r="B12" s="49"/>
      <c r="C12" s="1253">
        <f>C11+31</f>
        <v>44287</v>
      </c>
      <c r="D12" s="1254"/>
      <c r="E12" s="1270">
        <f>'Earning- Salary'!C26</f>
        <v>60360</v>
      </c>
      <c r="F12" s="1271"/>
      <c r="G12" s="1270">
        <f>'Earning- Salary'!C41</f>
        <v>200</v>
      </c>
      <c r="H12" s="1271"/>
      <c r="I12" s="1250">
        <f>'Earning- Salary'!C16</f>
        <v>10</v>
      </c>
      <c r="J12" s="1251"/>
      <c r="K12" s="1250">
        <f>'Earning- Salary'!C36+'Earning- Salary'!C37+'Earning- Salary'!C38</f>
        <v>2000</v>
      </c>
      <c r="L12" s="1251"/>
      <c r="M12" s="1250">
        <f>'Earning- Salary'!C42</f>
        <v>400</v>
      </c>
      <c r="N12" s="1251"/>
      <c r="O12" s="1250">
        <f>'Earning- Salary'!C44</f>
        <v>0</v>
      </c>
      <c r="P12" s="1251"/>
      <c r="Q12" s="1250">
        <f>'Earning- Salary'!C31</f>
        <v>0</v>
      </c>
      <c r="R12" s="1251"/>
      <c r="S12" s="403">
        <f>'Earning- Salary'!C15</f>
        <v>0</v>
      </c>
      <c r="T12" s="403">
        <f>'Earning- Salary'!C18</f>
        <v>0</v>
      </c>
      <c r="U12" s="1250">
        <f>'Earning- Salary'!C43</f>
        <v>0</v>
      </c>
      <c r="V12" s="1251"/>
      <c r="W12" s="1250">
        <f>'Earning- Salary'!C45</f>
        <v>3000</v>
      </c>
      <c r="X12" s="1251"/>
      <c r="Y12" s="49"/>
      <c r="Z12" s="48"/>
    </row>
    <row r="13" spans="1:26" s="50" customFormat="1" ht="21" hidden="1" customHeight="1">
      <c r="A13" s="48"/>
      <c r="B13" s="49"/>
      <c r="C13" s="1253">
        <f>C12+30</f>
        <v>44317</v>
      </c>
      <c r="D13" s="1254"/>
      <c r="E13" s="1272">
        <f>'Earning- Salary'!D26</f>
        <v>60360</v>
      </c>
      <c r="F13" s="1273"/>
      <c r="G13" s="1272">
        <f>'Earning- Salary'!D41</f>
        <v>200</v>
      </c>
      <c r="H13" s="1273"/>
      <c r="I13" s="1247">
        <f>'Earning- Salary'!D16</f>
        <v>10</v>
      </c>
      <c r="J13" s="1248"/>
      <c r="K13" s="1247">
        <f>'Earning- Salary'!D36+'Earning- Salary'!D37+'Earning- Salary'!D38</f>
        <v>2000</v>
      </c>
      <c r="L13" s="1248"/>
      <c r="M13" s="1247">
        <f>'Earning- Salary'!D42</f>
        <v>400</v>
      </c>
      <c r="N13" s="1248"/>
      <c r="O13" s="1247">
        <f>'Earning- Salary'!D44</f>
        <v>0</v>
      </c>
      <c r="P13" s="1248"/>
      <c r="Q13" s="1247">
        <f>'Earning- Salary'!D31</f>
        <v>0</v>
      </c>
      <c r="R13" s="1248"/>
      <c r="S13" s="402">
        <f>'Earning- Salary'!D15</f>
        <v>0</v>
      </c>
      <c r="T13" s="402">
        <f>'Earning- Salary'!D18</f>
        <v>0</v>
      </c>
      <c r="U13" s="1247">
        <f>'Earning- Salary'!D43</f>
        <v>0</v>
      </c>
      <c r="V13" s="1248"/>
      <c r="W13" s="1247">
        <f>'Earning- Salary'!D45</f>
        <v>3000</v>
      </c>
      <c r="X13" s="1248"/>
      <c r="Y13" s="49"/>
      <c r="Z13" s="48"/>
    </row>
    <row r="14" spans="1:26" s="50" customFormat="1" ht="21" hidden="1" customHeight="1">
      <c r="A14" s="48"/>
      <c r="B14" s="49"/>
      <c r="C14" s="1253">
        <f>C13+31</f>
        <v>44348</v>
      </c>
      <c r="D14" s="1254"/>
      <c r="E14" s="1270">
        <f>'Earning- Salary'!E26</f>
        <v>60360</v>
      </c>
      <c r="F14" s="1271"/>
      <c r="G14" s="1270">
        <f>'Earning- Salary'!E41</f>
        <v>200</v>
      </c>
      <c r="H14" s="1271"/>
      <c r="I14" s="1250">
        <f>'Earning- Salary'!E16</f>
        <v>10</v>
      </c>
      <c r="J14" s="1251"/>
      <c r="K14" s="1250">
        <f>'Earning- Salary'!E36+'Earning- Salary'!E37+'Earning- Salary'!E38</f>
        <v>2000</v>
      </c>
      <c r="L14" s="1251"/>
      <c r="M14" s="1250">
        <f>'Earning- Salary'!E42</f>
        <v>400</v>
      </c>
      <c r="N14" s="1251"/>
      <c r="O14" s="1250">
        <f>'Earning- Salary'!E44</f>
        <v>0</v>
      </c>
      <c r="P14" s="1251"/>
      <c r="Q14" s="1250">
        <f>'Earning- Salary'!E31</f>
        <v>0</v>
      </c>
      <c r="R14" s="1251"/>
      <c r="S14" s="403">
        <f>'Earning- Salary'!E15</f>
        <v>0</v>
      </c>
      <c r="T14" s="403">
        <f>'Earning- Salary'!E18</f>
        <v>0</v>
      </c>
      <c r="U14" s="1250">
        <f>'Earning- Salary'!E43</f>
        <v>0</v>
      </c>
      <c r="V14" s="1251"/>
      <c r="W14" s="1250">
        <f>'Earning- Salary'!E45</f>
        <v>3000</v>
      </c>
      <c r="X14" s="1251"/>
      <c r="Y14" s="49"/>
      <c r="Z14" s="48"/>
    </row>
    <row r="15" spans="1:26" s="50" customFormat="1" ht="21" hidden="1" customHeight="1">
      <c r="A15" s="48"/>
      <c r="B15" s="49"/>
      <c r="C15" s="1253">
        <f>C14+30</f>
        <v>44378</v>
      </c>
      <c r="D15" s="1254"/>
      <c r="E15" s="1272">
        <f>'Earning- Salary'!F26</f>
        <v>60360</v>
      </c>
      <c r="F15" s="1273"/>
      <c r="G15" s="1272">
        <f>'Earning- Salary'!F41</f>
        <v>200</v>
      </c>
      <c r="H15" s="1273"/>
      <c r="I15" s="1247">
        <f>'Earning- Salary'!F16</f>
        <v>10</v>
      </c>
      <c r="J15" s="1248"/>
      <c r="K15" s="1247">
        <f>'Earning- Salary'!F36+'Earning- Salary'!F37+'Earning- Salary'!F38</f>
        <v>2000</v>
      </c>
      <c r="L15" s="1248"/>
      <c r="M15" s="1247">
        <f>'Earning- Salary'!F42</f>
        <v>400</v>
      </c>
      <c r="N15" s="1248"/>
      <c r="O15" s="1247">
        <f>'Earning- Salary'!F44</f>
        <v>0</v>
      </c>
      <c r="P15" s="1248"/>
      <c r="Q15" s="1247">
        <f>'Earning- Salary'!F31</f>
        <v>0</v>
      </c>
      <c r="R15" s="1248"/>
      <c r="S15" s="402">
        <f>'Earning- Salary'!F15</f>
        <v>0</v>
      </c>
      <c r="T15" s="402">
        <f>'Earning- Salary'!F18</f>
        <v>0</v>
      </c>
      <c r="U15" s="1247">
        <f>'Earning- Salary'!F43</f>
        <v>0</v>
      </c>
      <c r="V15" s="1248"/>
      <c r="W15" s="1247">
        <f>'Earning- Salary'!F45</f>
        <v>3000</v>
      </c>
      <c r="X15" s="1248"/>
      <c r="Y15" s="49"/>
      <c r="Z15" s="48"/>
    </row>
    <row r="16" spans="1:26" s="50" customFormat="1" ht="21" hidden="1" customHeight="1">
      <c r="A16" s="48"/>
      <c r="B16" s="49"/>
      <c r="C16" s="1253">
        <f>C15+31</f>
        <v>44409</v>
      </c>
      <c r="D16" s="1254"/>
      <c r="E16" s="1270">
        <f>'Earning- Salary'!G26</f>
        <v>60360</v>
      </c>
      <c r="F16" s="1271"/>
      <c r="G16" s="1270">
        <f>'Earning- Salary'!G41</f>
        <v>200</v>
      </c>
      <c r="H16" s="1271"/>
      <c r="I16" s="1250">
        <f>'Earning- Salary'!G16</f>
        <v>10</v>
      </c>
      <c r="J16" s="1251"/>
      <c r="K16" s="1250">
        <f>'Earning- Salary'!G36+'Earning- Salary'!G37+'Earning- Salary'!G38</f>
        <v>2000</v>
      </c>
      <c r="L16" s="1251"/>
      <c r="M16" s="1250">
        <f>'Earning- Salary'!G42</f>
        <v>400</v>
      </c>
      <c r="N16" s="1251"/>
      <c r="O16" s="1250">
        <f>'Earning- Salary'!G44</f>
        <v>0</v>
      </c>
      <c r="P16" s="1251"/>
      <c r="Q16" s="1250">
        <f>'Earning- Salary'!G31</f>
        <v>0</v>
      </c>
      <c r="R16" s="1251"/>
      <c r="S16" s="403">
        <f>'Earning- Salary'!G15</f>
        <v>0</v>
      </c>
      <c r="T16" s="403">
        <f>'Earning- Salary'!G18</f>
        <v>0</v>
      </c>
      <c r="U16" s="1250">
        <f>'Earning- Salary'!G43</f>
        <v>0</v>
      </c>
      <c r="V16" s="1251"/>
      <c r="W16" s="1250">
        <f>'Earning- Salary'!G45</f>
        <v>3000</v>
      </c>
      <c r="X16" s="1251"/>
      <c r="Y16" s="49"/>
      <c r="Z16" s="48"/>
    </row>
    <row r="17" spans="1:26" s="50" customFormat="1" ht="21" hidden="1" customHeight="1">
      <c r="A17" s="48"/>
      <c r="B17" s="49"/>
      <c r="C17" s="648">
        <f>C16+31</f>
        <v>44440</v>
      </c>
      <c r="D17" s="770"/>
      <c r="E17" s="1270">
        <f>'Earning- Salary'!H26</f>
        <v>60360</v>
      </c>
      <c r="F17" s="1271"/>
      <c r="G17" s="647">
        <f>'Earning- Salary'!H41</f>
        <v>200</v>
      </c>
      <c r="H17" s="770"/>
      <c r="I17" s="402">
        <f>'Earning- Salary'!H16</f>
        <v>10</v>
      </c>
      <c r="J17" s="770"/>
      <c r="K17" s="402">
        <f>'Earning- Salary'!H36+'Earning- Salary'!H37+'Earning- Salary'!H38</f>
        <v>2000</v>
      </c>
      <c r="L17" s="770"/>
      <c r="M17" s="402">
        <f>'Earning- Salary'!H42</f>
        <v>400</v>
      </c>
      <c r="N17" s="770"/>
      <c r="O17" s="402">
        <f>'Earning- Salary'!H44</f>
        <v>0</v>
      </c>
      <c r="P17" s="770"/>
      <c r="Q17" s="402">
        <f>'Earning- Salary'!H31</f>
        <v>0</v>
      </c>
      <c r="R17" s="770"/>
      <c r="S17" s="402">
        <f>'Earning- Salary'!H15</f>
        <v>0</v>
      </c>
      <c r="T17" s="402">
        <f>'Earning- Salary'!H18</f>
        <v>0</v>
      </c>
      <c r="U17" s="402">
        <f>'Earning- Salary'!H43</f>
        <v>0</v>
      </c>
      <c r="V17" s="770"/>
      <c r="W17" s="402">
        <f>'Earning- Salary'!H45</f>
        <v>3000</v>
      </c>
      <c r="X17" s="770"/>
      <c r="Y17" s="49"/>
      <c r="Z17" s="48"/>
    </row>
    <row r="18" spans="1:26" s="50" customFormat="1" ht="21" hidden="1" customHeight="1">
      <c r="A18" s="48"/>
      <c r="B18" s="49"/>
      <c r="C18" s="648">
        <f>C17+30</f>
        <v>44470</v>
      </c>
      <c r="D18" s="770"/>
      <c r="E18" s="1270">
        <f>'Earning- Salary'!I26</f>
        <v>142446</v>
      </c>
      <c r="F18" s="1271"/>
      <c r="G18" s="415">
        <f>'Earning- Salary'!I41</f>
        <v>200</v>
      </c>
      <c r="H18" s="770"/>
      <c r="I18" s="403">
        <f>'Earning- Salary'!I16</f>
        <v>10</v>
      </c>
      <c r="J18" s="770"/>
      <c r="K18" s="403">
        <f>'Earning- Salary'!I36+'Earning- Salary'!I37+'Earning- Salary'!I38</f>
        <v>2000</v>
      </c>
      <c r="L18" s="770"/>
      <c r="M18" s="403">
        <f>'Earning- Salary'!I42</f>
        <v>400</v>
      </c>
      <c r="N18" s="770"/>
      <c r="O18" s="403">
        <f>'Earning- Salary'!I44</f>
        <v>0</v>
      </c>
      <c r="P18" s="770"/>
      <c r="Q18" s="403">
        <f>'Earning- Salary'!I31</f>
        <v>0</v>
      </c>
      <c r="R18" s="770"/>
      <c r="S18" s="403">
        <f>'Earning- Salary'!I15</f>
        <v>0</v>
      </c>
      <c r="T18" s="403">
        <f>'Earning- Salary'!I18</f>
        <v>0</v>
      </c>
      <c r="U18" s="403">
        <f>'Earning- Salary'!I43</f>
        <v>0</v>
      </c>
      <c r="V18" s="770"/>
      <c r="W18" s="403">
        <f>'Earning- Salary'!I45</f>
        <v>3000</v>
      </c>
      <c r="X18" s="770"/>
      <c r="Y18" s="49"/>
      <c r="Z18" s="48"/>
    </row>
    <row r="19" spans="1:26" s="50" customFormat="1" ht="21" hidden="1" customHeight="1">
      <c r="A19" s="48"/>
      <c r="B19" s="49"/>
      <c r="C19" s="648">
        <f>C18+31</f>
        <v>44501</v>
      </c>
      <c r="D19" s="770"/>
      <c r="E19" s="1270">
        <f>'Earning- Salary'!J26</f>
        <v>78210</v>
      </c>
      <c r="F19" s="1271"/>
      <c r="G19" s="647">
        <f>'Earning- Salary'!J41</f>
        <v>200</v>
      </c>
      <c r="H19" s="770"/>
      <c r="I19" s="402">
        <f>'Earning- Salary'!J16</f>
        <v>10</v>
      </c>
      <c r="J19" s="770"/>
      <c r="K19" s="402">
        <f>'Earning- Salary'!J36+'Earning- Salary'!J37+'Earning- Salary'!J38</f>
        <v>2000</v>
      </c>
      <c r="L19" s="770"/>
      <c r="M19" s="402">
        <f>'Earning- Salary'!J42</f>
        <v>400</v>
      </c>
      <c r="N19" s="770"/>
      <c r="O19" s="402">
        <f>'Earning- Salary'!J44</f>
        <v>0</v>
      </c>
      <c r="P19" s="770"/>
      <c r="Q19" s="402">
        <f>'Earning- Salary'!J31</f>
        <v>0</v>
      </c>
      <c r="R19" s="770"/>
      <c r="S19" s="402">
        <f>'Earning- Salary'!J15</f>
        <v>0</v>
      </c>
      <c r="T19" s="402">
        <f>'Earning- Salary'!J18</f>
        <v>0</v>
      </c>
      <c r="U19" s="402">
        <f>'Earning- Salary'!J43</f>
        <v>0</v>
      </c>
      <c r="V19" s="770"/>
      <c r="W19" s="402">
        <f>'Earning- Salary'!J45</f>
        <v>3000</v>
      </c>
      <c r="X19" s="770"/>
      <c r="Y19" s="49"/>
      <c r="Z19" s="48"/>
    </row>
    <row r="20" spans="1:26" s="50" customFormat="1" ht="21" hidden="1" customHeight="1">
      <c r="A20" s="48"/>
      <c r="B20" s="49"/>
      <c r="C20" s="648">
        <f>C19+30</f>
        <v>44531</v>
      </c>
      <c r="D20" s="770"/>
      <c r="E20" s="1270">
        <f>'Earning- Salary'!K26</f>
        <v>60360</v>
      </c>
      <c r="F20" s="1271"/>
      <c r="G20" s="415">
        <f>'Earning- Salary'!K41</f>
        <v>200</v>
      </c>
      <c r="H20" s="770"/>
      <c r="I20" s="403">
        <f>'Earning- Salary'!K16</f>
        <v>10</v>
      </c>
      <c r="J20" s="770"/>
      <c r="K20" s="403">
        <f>'Earning- Salary'!K36+'Earning- Salary'!K37+'Earning- Salary'!K38</f>
        <v>2000</v>
      </c>
      <c r="L20" s="770"/>
      <c r="M20" s="403">
        <f>'Earning- Salary'!K42</f>
        <v>400</v>
      </c>
      <c r="N20" s="770"/>
      <c r="O20" s="403">
        <f>'Earning- Salary'!K44</f>
        <v>0</v>
      </c>
      <c r="P20" s="770"/>
      <c r="Q20" s="403">
        <f>'Earning- Salary'!K31</f>
        <v>0</v>
      </c>
      <c r="R20" s="770"/>
      <c r="S20" s="403">
        <f>'Earning- Salary'!K15</f>
        <v>0</v>
      </c>
      <c r="T20" s="403">
        <f>'Earning- Salary'!K18</f>
        <v>0</v>
      </c>
      <c r="U20" s="403">
        <f>'Earning- Salary'!K43</f>
        <v>0</v>
      </c>
      <c r="V20" s="770"/>
      <c r="W20" s="403">
        <f>'Earning- Salary'!K45</f>
        <v>3000</v>
      </c>
      <c r="X20" s="770"/>
      <c r="Y20" s="49"/>
      <c r="Z20" s="48"/>
    </row>
    <row r="21" spans="1:26" s="50" customFormat="1" ht="15.75" hidden="1" customHeight="1">
      <c r="A21" s="48"/>
      <c r="B21" s="49"/>
      <c r="C21" s="648">
        <f>C20+31</f>
        <v>44562</v>
      </c>
      <c r="D21" s="770"/>
      <c r="E21" s="1270">
        <f>'Earning- Salary'!L26</f>
        <v>60360</v>
      </c>
      <c r="F21" s="1271"/>
      <c r="G21" s="647">
        <f>'Earning- Salary'!L41</f>
        <v>200</v>
      </c>
      <c r="H21" s="770"/>
      <c r="I21" s="402">
        <f>'Earning- Salary'!L16</f>
        <v>10</v>
      </c>
      <c r="J21" s="770"/>
      <c r="K21" s="402">
        <f>'Earning- Salary'!L36+'Earning- Salary'!L37+'Earning- Salary'!L38</f>
        <v>2000</v>
      </c>
      <c r="L21" s="770"/>
      <c r="M21" s="402">
        <f>'Earning- Salary'!L42</f>
        <v>400</v>
      </c>
      <c r="N21" s="770"/>
      <c r="O21" s="402">
        <f>'Earning- Salary'!L44</f>
        <v>0</v>
      </c>
      <c r="P21" s="770"/>
      <c r="Q21" s="402">
        <f>'Earning- Salary'!L31</f>
        <v>0</v>
      </c>
      <c r="R21" s="770"/>
      <c r="S21" s="402">
        <f>'Earning- Salary'!L15</f>
        <v>0</v>
      </c>
      <c r="T21" s="402">
        <f>'Earning- Salary'!L18</f>
        <v>0</v>
      </c>
      <c r="U21" s="402">
        <f>'Earning- Salary'!L43</f>
        <v>0</v>
      </c>
      <c r="V21" s="770"/>
      <c r="W21" s="402">
        <f>'Earning- Salary'!L45</f>
        <v>3000</v>
      </c>
      <c r="X21" s="770"/>
      <c r="Y21" s="49"/>
      <c r="Z21" s="48"/>
    </row>
    <row r="22" spans="1:26" s="50" customFormat="1" ht="15.75" hidden="1" customHeight="1">
      <c r="A22" s="48"/>
      <c r="B22" s="49"/>
      <c r="C22" s="648">
        <f>C21+31</f>
        <v>44593</v>
      </c>
      <c r="D22" s="770"/>
      <c r="E22" s="1270">
        <f>'Earning- Salary'!M26</f>
        <v>60360</v>
      </c>
      <c r="F22" s="1271"/>
      <c r="G22" s="647">
        <f>'Earning- Salary'!M41</f>
        <v>200</v>
      </c>
      <c r="H22" s="770"/>
      <c r="I22" s="402">
        <f>'Earning- Salary'!M16</f>
        <v>10</v>
      </c>
      <c r="J22" s="770"/>
      <c r="K22" s="402">
        <f>'Earning- Salary'!M36+'Earning- Salary'!M37+'Earning- Salary'!M38</f>
        <v>2000</v>
      </c>
      <c r="L22" s="770"/>
      <c r="M22" s="402">
        <f>'Earning- Salary'!M42</f>
        <v>400</v>
      </c>
      <c r="N22" s="770"/>
      <c r="O22" s="402">
        <f>'Earning- Salary'!M44</f>
        <v>0</v>
      </c>
      <c r="P22" s="770"/>
      <c r="Q22" s="402">
        <f>'Earning- Salary'!M31</f>
        <v>0</v>
      </c>
      <c r="R22" s="770"/>
      <c r="S22" s="402">
        <f>'Earning- Salary'!M15</f>
        <v>0</v>
      </c>
      <c r="T22" s="402">
        <f>'Earning- Salary'!M18</f>
        <v>0</v>
      </c>
      <c r="U22" s="402">
        <f>'Earning- Salary'!M43</f>
        <v>0</v>
      </c>
      <c r="V22" s="770"/>
      <c r="W22" s="402">
        <f>'Earning- Salary'!M45</f>
        <v>0</v>
      </c>
      <c r="X22" s="770"/>
      <c r="Y22" s="49"/>
      <c r="Z22" s="48"/>
    </row>
    <row r="23" spans="1:26" s="50" customFormat="1" ht="21" hidden="1" customHeight="1">
      <c r="A23" s="48"/>
      <c r="B23" s="49"/>
      <c r="C23" s="1278" t="s">
        <v>172</v>
      </c>
      <c r="D23" s="1279"/>
      <c r="E23" s="1270">
        <f>U35</f>
        <v>0</v>
      </c>
      <c r="F23" s="1271"/>
      <c r="G23" s="1276">
        <v>0</v>
      </c>
      <c r="H23" s="1277"/>
      <c r="I23" s="1276">
        <v>0</v>
      </c>
      <c r="J23" s="1277"/>
      <c r="K23" s="1276">
        <v>0</v>
      </c>
      <c r="L23" s="1277"/>
      <c r="M23" s="404"/>
      <c r="N23" s="405"/>
      <c r="O23" s="1276">
        <v>0</v>
      </c>
      <c r="P23" s="1277"/>
      <c r="Q23" s="1276">
        <v>0</v>
      </c>
      <c r="R23" s="1277"/>
      <c r="S23" s="404"/>
      <c r="T23" s="406"/>
      <c r="U23" s="1276">
        <v>0</v>
      </c>
      <c r="V23" s="1277"/>
      <c r="W23" s="1276">
        <v>0</v>
      </c>
      <c r="X23" s="1277"/>
      <c r="Y23" s="49"/>
      <c r="Z23" s="48"/>
    </row>
    <row r="24" spans="1:26" s="50" customFormat="1" ht="21" hidden="1" customHeight="1">
      <c r="A24" s="48"/>
      <c r="B24" s="49"/>
      <c r="C24" s="1278" t="s">
        <v>172</v>
      </c>
      <c r="D24" s="1279"/>
      <c r="E24" s="1270">
        <f>U36</f>
        <v>0</v>
      </c>
      <c r="F24" s="1271"/>
      <c r="G24" s="1276">
        <v>0</v>
      </c>
      <c r="H24" s="1277"/>
      <c r="I24" s="1276">
        <v>0</v>
      </c>
      <c r="J24" s="1277"/>
      <c r="K24" s="1276">
        <v>0</v>
      </c>
      <c r="L24" s="1277"/>
      <c r="M24" s="404"/>
      <c r="N24" s="405"/>
      <c r="O24" s="1276">
        <v>0</v>
      </c>
      <c r="P24" s="1277"/>
      <c r="Q24" s="1276">
        <v>0</v>
      </c>
      <c r="R24" s="1277"/>
      <c r="S24" s="404"/>
      <c r="T24" s="406"/>
      <c r="U24" s="1276">
        <v>0</v>
      </c>
      <c r="V24" s="1277"/>
      <c r="W24" s="1276">
        <v>0</v>
      </c>
      <c r="X24" s="1277"/>
      <c r="Y24" s="49"/>
      <c r="Z24" s="48"/>
    </row>
    <row r="25" spans="1:26" s="50" customFormat="1" ht="21" hidden="1" customHeight="1">
      <c r="A25" s="48"/>
      <c r="B25" s="49"/>
      <c r="C25" s="1278" t="str">
        <f>D41</f>
        <v>Leave travel concession</v>
      </c>
      <c r="D25" s="1279"/>
      <c r="E25" s="1270">
        <f>U41</f>
        <v>45786</v>
      </c>
      <c r="F25" s="1271"/>
      <c r="G25" s="1276">
        <v>0</v>
      </c>
      <c r="H25" s="1277"/>
      <c r="I25" s="1276">
        <v>0</v>
      </c>
      <c r="J25" s="1277"/>
      <c r="K25" s="1276">
        <v>0</v>
      </c>
      <c r="L25" s="1277"/>
      <c r="M25" s="404"/>
      <c r="N25" s="405"/>
      <c r="O25" s="1276">
        <v>0</v>
      </c>
      <c r="P25" s="1277"/>
      <c r="Q25" s="1276">
        <v>0</v>
      </c>
      <c r="R25" s="1277"/>
      <c r="S25" s="404"/>
      <c r="T25" s="406"/>
      <c r="U25" s="1276">
        <v>0</v>
      </c>
      <c r="V25" s="1277"/>
      <c r="W25" s="1276">
        <v>0</v>
      </c>
      <c r="X25" s="1277"/>
      <c r="Y25" s="49"/>
      <c r="Z25" s="48"/>
    </row>
    <row r="26" spans="1:26" s="50" customFormat="1" ht="19.5" hidden="1" customHeight="1">
      <c r="A26" s="48"/>
      <c r="B26" s="49"/>
      <c r="C26" s="1280" t="s">
        <v>148</v>
      </c>
      <c r="D26" s="1281"/>
      <c r="E26" s="1276">
        <f>U37</f>
        <v>0</v>
      </c>
      <c r="F26" s="1277"/>
      <c r="G26" s="1276">
        <v>0</v>
      </c>
      <c r="H26" s="1277"/>
      <c r="I26" s="1276">
        <v>0</v>
      </c>
      <c r="J26" s="1277"/>
      <c r="K26" s="1276">
        <v>0</v>
      </c>
      <c r="L26" s="1277"/>
      <c r="M26" s="1284"/>
      <c r="N26" s="1285"/>
      <c r="O26" s="1276">
        <v>0</v>
      </c>
      <c r="P26" s="1277"/>
      <c r="Q26" s="1276">
        <v>0</v>
      </c>
      <c r="R26" s="1277"/>
      <c r="S26" s="404"/>
      <c r="T26" s="406"/>
      <c r="U26" s="1276">
        <v>0</v>
      </c>
      <c r="V26" s="1277"/>
      <c r="W26" s="1276">
        <v>0</v>
      </c>
      <c r="X26" s="1277"/>
      <c r="Y26" s="49"/>
      <c r="Z26" s="48"/>
    </row>
    <row r="27" spans="1:26" ht="30.75" hidden="1" customHeight="1">
      <c r="A27" s="31"/>
      <c r="B27" s="34"/>
      <c r="C27" s="1280" t="s">
        <v>149</v>
      </c>
      <c r="D27" s="1281"/>
      <c r="E27" s="1276">
        <f>U38</f>
        <v>0</v>
      </c>
      <c r="F27" s="1277"/>
      <c r="G27" s="1276">
        <v>0</v>
      </c>
      <c r="H27" s="1277"/>
      <c r="I27" s="1276">
        <v>0</v>
      </c>
      <c r="J27" s="1277"/>
      <c r="K27" s="1276">
        <v>0</v>
      </c>
      <c r="L27" s="1277"/>
      <c r="M27" s="1284"/>
      <c r="N27" s="1285"/>
      <c r="O27" s="1276">
        <v>0</v>
      </c>
      <c r="P27" s="1277"/>
      <c r="Q27" s="1276">
        <v>0</v>
      </c>
      <c r="R27" s="1277"/>
      <c r="S27" s="404"/>
      <c r="T27" s="406"/>
      <c r="U27" s="1276">
        <v>0</v>
      </c>
      <c r="V27" s="1277"/>
      <c r="W27" s="1276">
        <v>0</v>
      </c>
      <c r="X27" s="1277"/>
      <c r="Y27" s="34"/>
      <c r="Z27" s="31"/>
    </row>
    <row r="28" spans="1:26" ht="30.75" hidden="1" customHeight="1">
      <c r="A28" s="31"/>
      <c r="B28" s="34"/>
      <c r="C28" s="1280" t="s">
        <v>336</v>
      </c>
      <c r="D28" s="1281"/>
      <c r="E28" s="1276">
        <f>U39</f>
        <v>35000</v>
      </c>
      <c r="F28" s="1277"/>
      <c r="G28" s="1276">
        <v>0</v>
      </c>
      <c r="H28" s="1277"/>
      <c r="I28" s="1276">
        <v>0</v>
      </c>
      <c r="J28" s="1277"/>
      <c r="K28" s="1276">
        <v>0</v>
      </c>
      <c r="L28" s="1277"/>
      <c r="M28" s="1284"/>
      <c r="N28" s="1285"/>
      <c r="O28" s="1276">
        <v>0</v>
      </c>
      <c r="P28" s="1277"/>
      <c r="Q28" s="1276">
        <v>0</v>
      </c>
      <c r="R28" s="1277"/>
      <c r="S28" s="404"/>
      <c r="T28" s="406"/>
      <c r="U28" s="1276">
        <v>0</v>
      </c>
      <c r="V28" s="1277"/>
      <c r="W28" s="1276">
        <v>0</v>
      </c>
      <c r="X28" s="1277"/>
      <c r="Y28" s="34"/>
      <c r="Z28" s="31"/>
    </row>
    <row r="29" spans="1:26" ht="21" hidden="1" customHeight="1">
      <c r="A29" s="31"/>
      <c r="B29" s="34"/>
      <c r="C29" s="1280" t="s">
        <v>119</v>
      </c>
      <c r="D29" s="1281"/>
      <c r="E29" s="1276">
        <f>U40</f>
        <v>0</v>
      </c>
      <c r="F29" s="1277"/>
      <c r="G29" s="1276">
        <v>0</v>
      </c>
      <c r="H29" s="1277"/>
      <c r="I29" s="1276">
        <v>0</v>
      </c>
      <c r="J29" s="1277"/>
      <c r="K29" s="1276">
        <v>0</v>
      </c>
      <c r="L29" s="1277"/>
      <c r="M29" s="1284"/>
      <c r="N29" s="1285"/>
      <c r="O29" s="1276">
        <v>0</v>
      </c>
      <c r="P29" s="1277"/>
      <c r="Q29" s="1276">
        <v>0</v>
      </c>
      <c r="R29" s="1277"/>
      <c r="S29" s="404"/>
      <c r="T29" s="406"/>
      <c r="U29" s="1276">
        <v>0</v>
      </c>
      <c r="V29" s="1277"/>
      <c r="W29" s="1276">
        <v>0</v>
      </c>
      <c r="X29" s="1277"/>
      <c r="Y29" s="34"/>
      <c r="Z29" s="31"/>
    </row>
    <row r="30" spans="1:26" ht="26.25" hidden="1" customHeight="1">
      <c r="A30" s="31"/>
      <c r="B30" s="34"/>
      <c r="C30" s="1278" t="str">
        <f>'Earning- Salary'!A47</f>
        <v>Other Deduction</v>
      </c>
      <c r="D30" s="1279"/>
      <c r="E30" s="1282">
        <f>'Earning- Salary'!N47</f>
        <v>0</v>
      </c>
      <c r="F30" s="1283"/>
      <c r="G30" s="1276">
        <v>0</v>
      </c>
      <c r="H30" s="1277"/>
      <c r="I30" s="1276">
        <v>0</v>
      </c>
      <c r="J30" s="1277"/>
      <c r="K30" s="1276">
        <v>0</v>
      </c>
      <c r="L30" s="1277"/>
      <c r="M30" s="1284"/>
      <c r="N30" s="1285"/>
      <c r="O30" s="1276">
        <v>0</v>
      </c>
      <c r="P30" s="1277"/>
      <c r="Q30" s="1276">
        <v>0</v>
      </c>
      <c r="R30" s="1277"/>
      <c r="S30" s="404"/>
      <c r="T30" s="406"/>
      <c r="U30" s="1276">
        <v>0</v>
      </c>
      <c r="V30" s="1277"/>
      <c r="W30" s="1276">
        <v>0</v>
      </c>
      <c r="X30" s="1277"/>
      <c r="Y30" s="34"/>
      <c r="Z30" s="31"/>
    </row>
    <row r="31" spans="1:26" ht="30.75" hidden="1" customHeight="1">
      <c r="A31" s="31"/>
      <c r="B31" s="34"/>
      <c r="C31" s="1280" t="s">
        <v>201</v>
      </c>
      <c r="D31" s="1281"/>
      <c r="E31" s="1276">
        <f>U43</f>
        <v>0</v>
      </c>
      <c r="F31" s="1277"/>
      <c r="G31" s="1276">
        <v>0</v>
      </c>
      <c r="H31" s="1277"/>
      <c r="I31" s="1276">
        <v>0</v>
      </c>
      <c r="J31" s="1277"/>
      <c r="K31" s="1276">
        <v>0</v>
      </c>
      <c r="L31" s="1277"/>
      <c r="M31" s="1284">
        <v>0</v>
      </c>
      <c r="N31" s="1285"/>
      <c r="O31" s="1276">
        <v>0</v>
      </c>
      <c r="P31" s="1277"/>
      <c r="Q31" s="1276">
        <v>0</v>
      </c>
      <c r="R31" s="1277"/>
      <c r="S31" s="404"/>
      <c r="T31" s="406"/>
      <c r="U31" s="1276">
        <v>0</v>
      </c>
      <c r="V31" s="1277"/>
      <c r="W31" s="1276">
        <v>0</v>
      </c>
      <c r="X31" s="1277"/>
      <c r="Y31" s="34"/>
      <c r="Z31" s="31"/>
    </row>
    <row r="32" spans="1:26" ht="21" hidden="1" customHeight="1">
      <c r="A32" s="29"/>
      <c r="B32" s="37"/>
      <c r="C32" s="1292" t="s">
        <v>70</v>
      </c>
      <c r="D32" s="1293"/>
      <c r="E32" s="1270">
        <f>SUM(E11:F31)-(E29+E30)</f>
        <v>905042</v>
      </c>
      <c r="F32" s="1271"/>
      <c r="G32" s="1270">
        <f>SUM(G11:H31)</f>
        <v>2400</v>
      </c>
      <c r="H32" s="1271"/>
      <c r="I32" s="1270">
        <f>SUM(I11:J31)</f>
        <v>120</v>
      </c>
      <c r="J32" s="1271"/>
      <c r="K32" s="1270">
        <f>SUM(K11:L31)</f>
        <v>24000</v>
      </c>
      <c r="L32" s="1271"/>
      <c r="M32" s="1270">
        <f>SUM(M11:N31)</f>
        <v>4800</v>
      </c>
      <c r="N32" s="1271"/>
      <c r="O32" s="1270">
        <f>SUM(O11:P31)+M72</f>
        <v>0</v>
      </c>
      <c r="P32" s="1271"/>
      <c r="Q32" s="1270">
        <f>SUM(Q11:R31)+M73</f>
        <v>0</v>
      </c>
      <c r="R32" s="1271"/>
      <c r="S32" s="415">
        <f>SUM(S11:S31)</f>
        <v>0</v>
      </c>
      <c r="T32" s="415">
        <f>SUM(T11:T31)</f>
        <v>0</v>
      </c>
      <c r="U32" s="1270">
        <f>SUM(U11:V31)+M74</f>
        <v>0</v>
      </c>
      <c r="V32" s="1271"/>
      <c r="W32" s="1274">
        <f>SUM(W11:X19)+W20+W21+W22+W23+W24+W25+W26+W27+W28+W29+W30+W31</f>
        <v>33000</v>
      </c>
      <c r="X32" s="1275"/>
      <c r="Y32" s="34"/>
      <c r="Z32" s="31"/>
    </row>
    <row r="33" spans="1:26" s="51" customFormat="1" ht="5.25" customHeight="1">
      <c r="A33" s="29"/>
      <c r="B33" s="37"/>
      <c r="C33" s="80"/>
      <c r="D33" s="84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34"/>
      <c r="Z33" s="34"/>
    </row>
    <row r="34" spans="1:26" s="51" customFormat="1" ht="17.25" customHeight="1">
      <c r="A34" s="29"/>
      <c r="B34" s="37"/>
      <c r="C34" s="1166" t="s">
        <v>484</v>
      </c>
      <c r="D34" s="376"/>
      <c r="E34" s="374"/>
      <c r="F34" s="374"/>
      <c r="G34" s="374"/>
      <c r="H34" s="374"/>
      <c r="I34" s="374"/>
      <c r="J34" s="374"/>
      <c r="K34" s="374"/>
      <c r="L34" s="374"/>
      <c r="M34" s="374"/>
      <c r="N34" s="374"/>
      <c r="O34" s="374"/>
      <c r="P34" s="374"/>
      <c r="Q34" s="374"/>
      <c r="R34" s="374"/>
      <c r="S34" s="374"/>
      <c r="T34" s="377"/>
      <c r="U34" s="374"/>
      <c r="V34" s="127"/>
      <c r="W34" s="127"/>
      <c r="X34" s="81"/>
      <c r="Y34" s="34"/>
      <c r="Z34" s="34"/>
    </row>
    <row r="35" spans="1:26" ht="21" hidden="1" customHeight="1">
      <c r="A35" s="348"/>
      <c r="B35" s="348"/>
      <c r="C35" s="349"/>
      <c r="D35" s="849"/>
      <c r="E35" s="414"/>
      <c r="F35" s="414"/>
      <c r="G35" s="414"/>
      <c r="H35" s="414"/>
      <c r="I35" s="414"/>
      <c r="J35" s="414"/>
      <c r="K35" s="414"/>
      <c r="L35" s="414"/>
      <c r="M35" s="414"/>
      <c r="N35" s="850"/>
      <c r="O35" s="1291"/>
      <c r="P35" s="1291"/>
      <c r="Q35" s="53"/>
      <c r="R35" s="769"/>
      <c r="S35" s="1289"/>
      <c r="T35" s="1290"/>
      <c r="U35" s="1286"/>
      <c r="V35" s="1287"/>
      <c r="W35" s="1288"/>
      <c r="X35" s="851"/>
      <c r="Y35" s="31"/>
      <c r="Z35" s="31"/>
    </row>
    <row r="36" spans="1:26" ht="21" hidden="1" customHeight="1">
      <c r="A36" s="851"/>
      <c r="B36" s="851"/>
      <c r="C36" s="852"/>
      <c r="D36" s="853"/>
      <c r="E36" s="854"/>
      <c r="F36" s="854"/>
      <c r="G36" s="854"/>
      <c r="H36" s="854"/>
      <c r="I36" s="854"/>
      <c r="J36" s="854"/>
      <c r="K36" s="854"/>
      <c r="L36" s="854"/>
      <c r="M36" s="854"/>
      <c r="N36" s="855"/>
      <c r="O36" s="1297"/>
      <c r="P36" s="1297"/>
      <c r="Q36" s="856"/>
      <c r="R36" s="857"/>
      <c r="S36" s="1300"/>
      <c r="T36" s="1301"/>
      <c r="U36" s="1286"/>
      <c r="V36" s="1287"/>
      <c r="W36" s="1288"/>
      <c r="X36" s="851"/>
      <c r="Y36" s="31"/>
      <c r="Z36" s="31"/>
    </row>
    <row r="37" spans="1:26" ht="21" hidden="1" customHeight="1">
      <c r="A37" s="851"/>
      <c r="B37" s="851"/>
      <c r="C37" s="852"/>
      <c r="D37" s="853"/>
      <c r="E37" s="854"/>
      <c r="F37" s="854"/>
      <c r="G37" s="854"/>
      <c r="H37" s="854"/>
      <c r="I37" s="858"/>
      <c r="J37" s="858"/>
      <c r="K37" s="858"/>
      <c r="L37" s="858"/>
      <c r="M37" s="858"/>
      <c r="N37" s="855"/>
      <c r="O37" s="1298"/>
      <c r="P37" s="1299"/>
      <c r="Q37" s="856"/>
      <c r="R37" s="857"/>
      <c r="S37" s="1300"/>
      <c r="T37" s="1301"/>
      <c r="U37" s="1286"/>
      <c r="V37" s="1287"/>
      <c r="W37" s="1288"/>
      <c r="X37" s="851"/>
      <c r="Y37" s="31"/>
      <c r="Z37" s="31"/>
    </row>
    <row r="38" spans="1:26" s="50" customFormat="1" ht="26.25" customHeight="1">
      <c r="A38" s="48"/>
      <c r="B38" s="48"/>
      <c r="C38" s="614">
        <v>1</v>
      </c>
      <c r="D38" s="995" t="s">
        <v>487</v>
      </c>
      <c r="E38" s="994"/>
      <c r="F38" s="609"/>
      <c r="G38" s="609"/>
      <c r="H38" s="609"/>
      <c r="I38" s="609"/>
      <c r="J38" s="609"/>
      <c r="K38" s="609"/>
      <c r="L38" s="609"/>
      <c r="M38" s="609"/>
      <c r="N38" s="862" t="s">
        <v>485</v>
      </c>
      <c r="O38" s="1296">
        <v>0</v>
      </c>
      <c r="P38" s="1296"/>
      <c r="Q38" s="609"/>
      <c r="R38" s="862" t="s">
        <v>65</v>
      </c>
      <c r="S38" s="1294"/>
      <c r="T38" s="1295"/>
      <c r="U38" s="1303">
        <v>0</v>
      </c>
      <c r="V38" s="1304"/>
      <c r="W38" s="1305"/>
      <c r="X38" s="48"/>
      <c r="Y38" s="48"/>
      <c r="Z38" s="48"/>
    </row>
    <row r="39" spans="1:26" s="50" customFormat="1" ht="26.25" customHeight="1">
      <c r="A39" s="48"/>
      <c r="B39" s="48"/>
      <c r="C39" s="614">
        <v>2</v>
      </c>
      <c r="D39" s="995" t="s">
        <v>488</v>
      </c>
      <c r="E39" s="994"/>
      <c r="F39" s="609"/>
      <c r="G39" s="609"/>
      <c r="H39" s="609"/>
      <c r="I39" s="609"/>
      <c r="J39" s="609"/>
      <c r="K39" s="609"/>
      <c r="L39" s="609"/>
      <c r="M39" s="609"/>
      <c r="N39" s="862" t="s">
        <v>485</v>
      </c>
      <c r="O39" s="1296">
        <v>0</v>
      </c>
      <c r="P39" s="1296"/>
      <c r="Q39" s="609"/>
      <c r="R39" s="862" t="s">
        <v>65</v>
      </c>
      <c r="S39" s="1294"/>
      <c r="T39" s="1302"/>
      <c r="U39" s="1303">
        <v>35000</v>
      </c>
      <c r="V39" s="1304"/>
      <c r="W39" s="1305"/>
      <c r="X39" s="863"/>
      <c r="Y39" s="48"/>
      <c r="Z39" s="48"/>
    </row>
    <row r="40" spans="1:26" s="50" customFormat="1" ht="26.25" customHeight="1">
      <c r="A40" s="48"/>
      <c r="B40" s="48"/>
      <c r="C40" s="614">
        <v>3</v>
      </c>
      <c r="D40" s="995" t="s">
        <v>119</v>
      </c>
      <c r="E40" s="994"/>
      <c r="F40" s="609"/>
      <c r="G40" s="609"/>
      <c r="H40" s="609"/>
      <c r="I40" s="827"/>
      <c r="J40" s="827"/>
      <c r="K40" s="827"/>
      <c r="L40" s="827"/>
      <c r="M40" s="609"/>
      <c r="N40" s="862" t="s">
        <v>485</v>
      </c>
      <c r="O40" s="1296">
        <v>0</v>
      </c>
      <c r="P40" s="1296"/>
      <c r="Q40" s="609"/>
      <c r="R40" s="862" t="s">
        <v>65</v>
      </c>
      <c r="S40" s="1294"/>
      <c r="T40" s="1295"/>
      <c r="U40" s="1306">
        <v>0</v>
      </c>
      <c r="V40" s="1307"/>
      <c r="W40" s="1308"/>
      <c r="X40" s="864"/>
      <c r="Y40" s="864"/>
      <c r="Z40" s="864"/>
    </row>
    <row r="41" spans="1:26" s="50" customFormat="1" ht="26.25" customHeight="1">
      <c r="A41" s="48"/>
      <c r="B41" s="48"/>
      <c r="C41" s="614">
        <v>4</v>
      </c>
      <c r="D41" s="995" t="s">
        <v>581</v>
      </c>
      <c r="E41" s="994"/>
      <c r="F41" s="609"/>
      <c r="G41" s="609"/>
      <c r="H41" s="609"/>
      <c r="I41" s="609"/>
      <c r="J41" s="609"/>
      <c r="K41" s="609"/>
      <c r="L41" s="609"/>
      <c r="M41" s="609"/>
      <c r="N41" s="862" t="s">
        <v>485</v>
      </c>
      <c r="O41" s="1296">
        <v>0</v>
      </c>
      <c r="P41" s="1296"/>
      <c r="Q41" s="609"/>
      <c r="R41" s="862" t="s">
        <v>65</v>
      </c>
      <c r="S41" s="1294"/>
      <c r="T41" s="1295"/>
      <c r="U41" s="1306">
        <v>45786</v>
      </c>
      <c r="V41" s="1307"/>
      <c r="W41" s="1308"/>
      <c r="X41" s="863"/>
      <c r="Y41" s="48"/>
      <c r="Z41" s="48"/>
    </row>
    <row r="42" spans="1:26" s="50" customFormat="1" ht="26.25" customHeight="1">
      <c r="A42" s="48"/>
      <c r="B42" s="48"/>
      <c r="C42" s="614">
        <v>5</v>
      </c>
      <c r="D42" s="995" t="s">
        <v>580</v>
      </c>
      <c r="E42" s="994"/>
      <c r="F42" s="609"/>
      <c r="G42" s="609"/>
      <c r="H42" s="609"/>
      <c r="I42" s="609"/>
      <c r="J42" s="609"/>
      <c r="K42" s="609"/>
      <c r="L42" s="609"/>
      <c r="M42" s="609"/>
      <c r="N42" s="862"/>
      <c r="O42" s="993"/>
      <c r="P42" s="993"/>
      <c r="Q42" s="609"/>
      <c r="R42" s="862"/>
      <c r="S42" s="991"/>
      <c r="T42" s="992"/>
      <c r="U42" s="1306">
        <v>0</v>
      </c>
      <c r="V42" s="1307"/>
      <c r="W42" s="1308"/>
      <c r="X42" s="863"/>
      <c r="Y42" s="48"/>
      <c r="Z42" s="48"/>
    </row>
    <row r="43" spans="1:26" s="50" customFormat="1" ht="26.25" customHeight="1">
      <c r="A43" s="48"/>
      <c r="B43" s="48"/>
      <c r="C43" s="614">
        <v>6</v>
      </c>
      <c r="D43" s="995" t="s">
        <v>492</v>
      </c>
      <c r="E43" s="994"/>
      <c r="F43" s="609"/>
      <c r="G43" s="609"/>
      <c r="H43" s="609"/>
      <c r="I43" s="609"/>
      <c r="J43" s="609"/>
      <c r="K43" s="609"/>
      <c r="L43" s="609"/>
      <c r="M43" s="609"/>
      <c r="N43" s="862" t="s">
        <v>485</v>
      </c>
      <c r="O43" s="1296">
        <v>0</v>
      </c>
      <c r="P43" s="1296"/>
      <c r="Q43" s="609"/>
      <c r="R43" s="862" t="s">
        <v>65</v>
      </c>
      <c r="S43" s="1294"/>
      <c r="T43" s="1295"/>
      <c r="U43" s="1306">
        <v>0</v>
      </c>
      <c r="V43" s="1307"/>
      <c r="W43" s="1308"/>
      <c r="X43" s="864"/>
      <c r="Y43" s="864"/>
      <c r="Z43" s="864"/>
    </row>
    <row r="44" spans="1:26" s="51" customFormat="1" ht="17.25" customHeight="1">
      <c r="A44" s="29"/>
      <c r="B44" s="37"/>
      <c r="C44" s="375"/>
      <c r="D44" s="376"/>
      <c r="E44" s="374"/>
      <c r="F44" s="374"/>
      <c r="G44" s="374"/>
      <c r="H44" s="374"/>
      <c r="I44" s="374"/>
      <c r="J44" s="374"/>
      <c r="K44" s="374"/>
      <c r="L44" s="374"/>
      <c r="M44" s="374"/>
      <c r="N44" s="374"/>
      <c r="O44" s="374"/>
      <c r="P44" s="374"/>
      <c r="Q44" s="374"/>
      <c r="R44" s="374"/>
      <c r="S44" s="374"/>
      <c r="T44" s="377"/>
      <c r="U44" s="374"/>
      <c r="V44" s="127"/>
      <c r="W44" s="127"/>
      <c r="X44" s="81"/>
      <c r="Y44" s="34"/>
      <c r="Z44" s="34"/>
    </row>
    <row r="45" spans="1:26" ht="21" customHeight="1">
      <c r="A45" s="31"/>
      <c r="B45" s="34"/>
      <c r="C45" s="352" t="s">
        <v>284</v>
      </c>
      <c r="D45" s="34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9"/>
      <c r="R45" s="39"/>
      <c r="S45" s="39"/>
      <c r="T45" s="39"/>
      <c r="U45" s="39"/>
      <c r="V45" s="34"/>
      <c r="W45" s="34"/>
      <c r="X45" s="34"/>
      <c r="Y45" s="34"/>
      <c r="Z45" s="31"/>
    </row>
    <row r="46" spans="1:26" s="50" customFormat="1" ht="26.25" customHeight="1">
      <c r="A46" s="48"/>
      <c r="B46" s="48"/>
      <c r="C46" s="614">
        <v>1</v>
      </c>
      <c r="D46" s="825" t="s">
        <v>10</v>
      </c>
      <c r="E46" s="609"/>
      <c r="F46" s="609"/>
      <c r="G46" s="609"/>
      <c r="H46" s="609"/>
      <c r="I46" s="609"/>
      <c r="J46" s="609"/>
      <c r="K46" s="609"/>
      <c r="L46" s="609"/>
      <c r="M46" s="609"/>
      <c r="N46" s="609"/>
      <c r="O46" s="609"/>
      <c r="P46" s="609"/>
      <c r="Q46" s="609"/>
      <c r="R46" s="609"/>
      <c r="S46" s="609"/>
      <c r="T46" s="826"/>
      <c r="U46" s="1303">
        <v>0</v>
      </c>
      <c r="V46" s="1304"/>
      <c r="W46" s="1305"/>
      <c r="X46" s="48"/>
      <c r="Y46" s="48"/>
      <c r="Z46" s="48"/>
    </row>
    <row r="47" spans="1:26" s="50" customFormat="1" ht="26.25" customHeight="1">
      <c r="A47" s="48"/>
      <c r="B47" s="48"/>
      <c r="C47" s="614">
        <v>2</v>
      </c>
      <c r="D47" s="409" t="s">
        <v>120</v>
      </c>
      <c r="E47" s="410"/>
      <c r="F47" s="410"/>
      <c r="G47" s="410"/>
      <c r="H47" s="1312" t="s">
        <v>601</v>
      </c>
      <c r="I47" s="1312"/>
      <c r="J47" s="1312"/>
      <c r="K47" s="1312"/>
      <c r="L47" s="1312"/>
      <c r="M47" s="1312"/>
      <c r="N47" s="1312"/>
      <c r="O47" s="1312"/>
      <c r="P47" s="1312"/>
      <c r="Q47" s="1312"/>
      <c r="R47" s="1102">
        <f>'Master Deails'!B5</f>
        <v>5</v>
      </c>
      <c r="S47" s="1103">
        <f>Y47</f>
        <v>15000</v>
      </c>
      <c r="T47" s="1104">
        <f>X47</f>
        <v>-25000</v>
      </c>
      <c r="U47" s="1303">
        <v>25000</v>
      </c>
      <c r="V47" s="1304"/>
      <c r="W47" s="1305"/>
      <c r="X47" s="863">
        <f>IF(AND(R47=6,U47&lt;=50000),0,U47-50000)</f>
        <v>-25000</v>
      </c>
      <c r="Y47" s="48">
        <f>IF(AND(R47=5,U47&lt;=10000),0,U47-10000)</f>
        <v>15000</v>
      </c>
      <c r="Z47" s="48"/>
    </row>
    <row r="48" spans="1:26" s="50" customFormat="1" ht="26.25" customHeight="1">
      <c r="A48" s="48"/>
      <c r="B48" s="48"/>
      <c r="C48" s="614">
        <v>3</v>
      </c>
      <c r="D48" s="825" t="s">
        <v>121</v>
      </c>
      <c r="E48" s="609"/>
      <c r="F48" s="609"/>
      <c r="G48" s="609"/>
      <c r="H48" s="609"/>
      <c r="I48" s="609"/>
      <c r="J48" s="609"/>
      <c r="K48" s="609"/>
      <c r="L48" s="609"/>
      <c r="M48" s="609"/>
      <c r="N48" s="609"/>
      <c r="O48" s="609"/>
      <c r="P48" s="609"/>
      <c r="Q48" s="609"/>
      <c r="R48" s="609"/>
      <c r="S48" s="609"/>
      <c r="T48" s="826"/>
      <c r="U48" s="1303">
        <v>15000</v>
      </c>
      <c r="V48" s="1304"/>
      <c r="W48" s="1305"/>
      <c r="X48" s="48"/>
      <c r="Y48" s="48"/>
      <c r="Z48" s="48"/>
    </row>
    <row r="49" spans="1:26" s="50" customFormat="1" ht="26.25" customHeight="1">
      <c r="A49" s="48"/>
      <c r="B49" s="48"/>
      <c r="C49" s="614">
        <v>4</v>
      </c>
      <c r="D49" s="825" t="s">
        <v>122</v>
      </c>
      <c r="E49" s="609"/>
      <c r="F49" s="609"/>
      <c r="G49" s="609"/>
      <c r="H49" s="609"/>
      <c r="I49" s="609"/>
      <c r="J49" s="609"/>
      <c r="K49" s="609"/>
      <c r="L49" s="609"/>
      <c r="M49" s="609"/>
      <c r="N49" s="609"/>
      <c r="O49" s="609"/>
      <c r="P49" s="609"/>
      <c r="Q49" s="609"/>
      <c r="R49" s="609"/>
      <c r="S49" s="609"/>
      <c r="T49" s="826"/>
      <c r="U49" s="1303">
        <v>0</v>
      </c>
      <c r="V49" s="1304"/>
      <c r="W49" s="1305"/>
      <c r="X49" s="863"/>
      <c r="Y49" s="48"/>
      <c r="Z49" s="48"/>
    </row>
    <row r="50" spans="1:26" s="50" customFormat="1" ht="26.25" customHeight="1">
      <c r="A50" s="48"/>
      <c r="B50" s="48"/>
      <c r="C50" s="614">
        <v>5</v>
      </c>
      <c r="D50" s="825" t="s">
        <v>378</v>
      </c>
      <c r="E50" s="609"/>
      <c r="F50" s="609"/>
      <c r="G50" s="609"/>
      <c r="H50" s="609"/>
      <c r="I50" s="827"/>
      <c r="J50" s="827"/>
      <c r="K50" s="827"/>
      <c r="L50" s="827"/>
      <c r="M50" s="609"/>
      <c r="N50" s="609"/>
      <c r="O50" s="609"/>
      <c r="P50" s="609"/>
      <c r="Q50" s="609"/>
      <c r="R50" s="609"/>
      <c r="S50" s="609"/>
      <c r="T50" s="826"/>
      <c r="U50" s="1306">
        <v>1500000</v>
      </c>
      <c r="V50" s="1307"/>
      <c r="W50" s="1308"/>
      <c r="X50" s="864"/>
      <c r="Y50" s="864"/>
      <c r="Z50" s="864"/>
    </row>
    <row r="51" spans="1:26" s="50" customFormat="1" ht="26.25" customHeight="1">
      <c r="A51" s="48"/>
      <c r="B51" s="48"/>
      <c r="C51" s="614">
        <v>6</v>
      </c>
      <c r="D51" s="825" t="s">
        <v>634</v>
      </c>
      <c r="E51" s="609"/>
      <c r="F51" s="609"/>
      <c r="G51" s="609"/>
      <c r="H51" s="609"/>
      <c r="I51" s="609"/>
      <c r="J51" s="609"/>
      <c r="K51" s="609"/>
      <c r="L51" s="609"/>
      <c r="M51" s="609"/>
      <c r="N51" s="609"/>
      <c r="O51" s="609"/>
      <c r="P51" s="609"/>
      <c r="Q51" s="609"/>
      <c r="R51" s="609"/>
      <c r="S51" s="609"/>
      <c r="T51" s="826"/>
      <c r="U51" s="1306">
        <f>40000*10</f>
        <v>400000</v>
      </c>
      <c r="V51" s="1307"/>
      <c r="W51" s="1308"/>
      <c r="X51" s="865">
        <f>IF(M51="No",U51,IF(AND(U51&gt;=0,U51&lt;300000),U51,U51-300000))</f>
        <v>100000</v>
      </c>
      <c r="Y51" s="864"/>
      <c r="Z51" s="864"/>
    </row>
    <row r="52" spans="1:26" s="50" customFormat="1" ht="26.25" customHeight="1">
      <c r="A52" s="48"/>
      <c r="B52" s="48"/>
      <c r="C52" s="614">
        <v>7</v>
      </c>
      <c r="D52" s="825" t="s">
        <v>373</v>
      </c>
      <c r="E52" s="609"/>
      <c r="F52" s="609"/>
      <c r="G52" s="609"/>
      <c r="H52" s="609"/>
      <c r="I52" s="609"/>
      <c r="J52" s="609"/>
      <c r="K52" s="609"/>
      <c r="L52" s="609"/>
      <c r="M52" s="609"/>
      <c r="N52" s="609"/>
      <c r="O52" s="609"/>
      <c r="P52" s="609"/>
      <c r="Q52" s="609"/>
      <c r="R52" s="609"/>
      <c r="S52" s="609"/>
      <c r="T52" s="826"/>
      <c r="U52" s="1306">
        <v>2500000</v>
      </c>
      <c r="V52" s="1307"/>
      <c r="W52" s="1308"/>
      <c r="X52" s="864"/>
      <c r="Y52" s="864"/>
      <c r="Z52" s="864"/>
    </row>
    <row r="53" spans="1:26" s="50" customFormat="1" ht="26.25" hidden="1" customHeight="1">
      <c r="A53" s="48"/>
      <c r="B53" s="48"/>
      <c r="C53" s="1030">
        <v>8</v>
      </c>
      <c r="D53" s="1031"/>
      <c r="E53" s="1032"/>
      <c r="F53" s="1032"/>
      <c r="G53" s="1032"/>
      <c r="H53" s="1032"/>
      <c r="I53" s="1032"/>
      <c r="J53" s="1032"/>
      <c r="K53" s="1032"/>
      <c r="L53" s="1032"/>
      <c r="M53" s="1032"/>
      <c r="N53" s="1032"/>
      <c r="O53" s="1032"/>
      <c r="P53" s="1032"/>
      <c r="Q53" s="1032"/>
      <c r="R53" s="1313"/>
      <c r="S53" s="1313"/>
      <c r="T53" s="1033"/>
      <c r="U53" s="1314"/>
      <c r="V53" s="1315"/>
      <c r="W53" s="1316"/>
      <c r="X53" s="1326"/>
      <c r="Y53" s="1327"/>
      <c r="Z53" s="864"/>
    </row>
    <row r="54" spans="1:26" s="50" customFormat="1" ht="26.25" customHeight="1">
      <c r="A54" s="48"/>
      <c r="B54" s="48"/>
      <c r="C54" s="614">
        <v>8</v>
      </c>
      <c r="D54" s="825" t="s">
        <v>374</v>
      </c>
      <c r="E54" s="609"/>
      <c r="F54" s="609"/>
      <c r="G54" s="609"/>
      <c r="H54" s="609"/>
      <c r="I54" s="609"/>
      <c r="J54" s="609"/>
      <c r="K54" s="609"/>
      <c r="L54" s="609"/>
      <c r="M54" s="609"/>
      <c r="N54" s="1131" t="s">
        <v>385</v>
      </c>
      <c r="O54" s="609"/>
      <c r="P54" s="609"/>
      <c r="Q54" s="609"/>
      <c r="R54" s="609"/>
      <c r="S54" s="609"/>
      <c r="T54" s="615"/>
      <c r="U54" s="1306">
        <v>5000</v>
      </c>
      <c r="V54" s="1307"/>
      <c r="W54" s="1308"/>
      <c r="X54" s="48"/>
      <c r="Y54" s="48"/>
      <c r="Z54" s="48"/>
    </row>
    <row r="55" spans="1:26" s="50" customFormat="1" ht="33" customHeight="1">
      <c r="A55" s="48"/>
      <c r="B55" s="48"/>
      <c r="C55" s="614">
        <v>9</v>
      </c>
      <c r="D55" s="1330" t="s">
        <v>632</v>
      </c>
      <c r="E55" s="1331"/>
      <c r="F55" s="1331"/>
      <c r="G55" s="1331"/>
      <c r="H55" s="1331"/>
      <c r="I55" s="1331"/>
      <c r="J55" s="1331"/>
      <c r="K55" s="1328" t="s">
        <v>640</v>
      </c>
      <c r="L55" s="1328"/>
      <c r="M55" s="1328"/>
      <c r="N55" s="1328"/>
      <c r="O55" s="1328"/>
      <c r="P55" s="1328"/>
      <c r="Q55" s="1328"/>
      <c r="R55" s="1328"/>
      <c r="S55" s="1328"/>
      <c r="T55" s="1329"/>
      <c r="U55" s="1306">
        <v>40000</v>
      </c>
      <c r="V55" s="1307"/>
      <c r="W55" s="1308"/>
      <c r="X55" s="48"/>
      <c r="Y55" s="48"/>
      <c r="Z55" s="48"/>
    </row>
    <row r="56" spans="1:26" s="50" customFormat="1" ht="26.25" customHeight="1">
      <c r="A56" s="48"/>
      <c r="B56" s="48"/>
      <c r="C56" s="614">
        <v>10</v>
      </c>
      <c r="D56" s="1034" t="s">
        <v>283</v>
      </c>
      <c r="E56" s="1035"/>
      <c r="F56" s="1035"/>
      <c r="G56" s="1035"/>
      <c r="H56" s="1035"/>
      <c r="I56" s="1035"/>
      <c r="J56" s="1035"/>
      <c r="K56" s="1035"/>
      <c r="L56" s="1035"/>
      <c r="M56" s="1035"/>
      <c r="N56" s="1035"/>
      <c r="O56" s="1035"/>
      <c r="P56" s="1035"/>
      <c r="Q56" s="1035"/>
      <c r="R56" s="1035"/>
      <c r="S56" s="1035"/>
      <c r="T56" s="1036"/>
      <c r="U56" s="1303">
        <v>0</v>
      </c>
      <c r="V56" s="1304"/>
      <c r="W56" s="1305"/>
      <c r="X56" s="48"/>
      <c r="Y56" s="48"/>
      <c r="Z56" s="48"/>
    </row>
    <row r="57" spans="1:26" ht="21" customHeight="1">
      <c r="A57" s="31"/>
      <c r="B57" s="31"/>
      <c r="C57" s="47"/>
      <c r="D57" s="785"/>
      <c r="E57" s="785"/>
      <c r="F57" s="785"/>
      <c r="G57" s="785"/>
      <c r="H57" s="785"/>
      <c r="I57" s="785"/>
      <c r="J57" s="785"/>
      <c r="K57" s="785"/>
      <c r="L57" s="785"/>
      <c r="M57" s="785"/>
      <c r="N57" s="785"/>
      <c r="O57" s="785"/>
      <c r="P57" s="785"/>
      <c r="Q57" s="785"/>
      <c r="R57" s="785"/>
      <c r="S57" s="785"/>
      <c r="T57" s="786"/>
      <c r="U57" s="787"/>
      <c r="V57" s="787"/>
      <c r="W57" s="787"/>
      <c r="X57" s="31"/>
      <c r="Y57" s="31"/>
      <c r="Z57" s="31"/>
    </row>
    <row r="58" spans="1:26" s="19" customFormat="1" ht="12.75" hidden="1">
      <c r="A58" s="17"/>
      <c r="B58" s="17"/>
      <c r="C58" s="17"/>
      <c r="D58" s="86" t="s">
        <v>57</v>
      </c>
      <c r="E58" s="17"/>
      <c r="F58" s="17"/>
      <c r="G58" s="17"/>
      <c r="H58" s="17"/>
      <c r="I58" s="17"/>
      <c r="J58" s="17"/>
      <c r="K58" s="128"/>
      <c r="L58" s="128"/>
      <c r="M58" s="128"/>
      <c r="N58" s="128"/>
      <c r="O58" s="128"/>
      <c r="P58" s="128"/>
      <c r="Q58" s="128"/>
      <c r="R58" s="128"/>
      <c r="S58" s="45"/>
      <c r="T58" s="154">
        <f>ROUND(E32*T34,0)</f>
        <v>0</v>
      </c>
      <c r="U58" s="128"/>
      <c r="V58" s="128"/>
      <c r="W58" s="128"/>
      <c r="X58" s="17"/>
      <c r="Y58" s="17"/>
      <c r="Z58" s="17"/>
    </row>
    <row r="59" spans="1:26" s="19" customFormat="1" ht="4.5" hidden="1" customHeight="1">
      <c r="A59" s="17"/>
      <c r="B59" s="17"/>
      <c r="C59" s="17"/>
      <c r="D59" s="86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619"/>
      <c r="V59" s="619"/>
      <c r="W59" s="619"/>
      <c r="X59" s="17"/>
      <c r="Y59" s="17"/>
      <c r="Z59" s="17"/>
    </row>
    <row r="60" spans="1:26" s="19" customFormat="1" ht="19.5" hidden="1" customHeight="1">
      <c r="A60" s="17"/>
      <c r="B60" s="17"/>
      <c r="C60" s="17"/>
      <c r="D60" s="24" t="s">
        <v>58</v>
      </c>
      <c r="E60" s="1309" t="s">
        <v>109</v>
      </c>
      <c r="F60" s="1309"/>
      <c r="G60" s="1309"/>
      <c r="H60" s="1309"/>
      <c r="I60" s="1309"/>
      <c r="J60" s="1309"/>
      <c r="K60" s="1309"/>
      <c r="L60" s="1309"/>
      <c r="M60" s="1309"/>
      <c r="N60" s="1309"/>
      <c r="O60" s="1309"/>
      <c r="P60" s="1309"/>
      <c r="Q60" s="1309"/>
      <c r="R60" s="1309"/>
      <c r="S60" s="1309"/>
      <c r="T60" s="621">
        <f>IF(Q63&lt;=0,0,U60)</f>
        <v>0</v>
      </c>
      <c r="U60" s="1310">
        <f>'Earning- Salary'!N13</f>
        <v>0</v>
      </c>
      <c r="V60" s="1311"/>
      <c r="W60" s="1311"/>
      <c r="X60" s="17"/>
      <c r="Y60" s="17"/>
      <c r="Z60" s="17"/>
    </row>
    <row r="61" spans="1:26" s="19" customFormat="1" ht="20.100000000000001" hidden="1" customHeight="1">
      <c r="A61" s="17"/>
      <c r="B61" s="17"/>
      <c r="C61" s="17"/>
      <c r="D61" s="1317" t="s">
        <v>59</v>
      </c>
      <c r="E61" s="1318" t="s">
        <v>110</v>
      </c>
      <c r="F61" s="1318"/>
      <c r="G61" s="1318"/>
      <c r="H61" s="1318"/>
      <c r="I61" s="1318"/>
      <c r="J61" s="1318"/>
      <c r="K61" s="1318"/>
      <c r="L61" s="1318"/>
      <c r="M61" s="1318"/>
      <c r="N61" s="1318"/>
      <c r="O61" s="1318"/>
      <c r="P61" s="1318"/>
      <c r="Q61" s="1318"/>
      <c r="R61" s="1318"/>
      <c r="S61" s="1318"/>
      <c r="T61" s="621">
        <f>IF(Q63&lt;=0,0,U61)</f>
        <v>0</v>
      </c>
      <c r="U61" s="1310">
        <f>Q63-Q64</f>
        <v>0</v>
      </c>
      <c r="V61" s="1311"/>
      <c r="W61" s="1311"/>
      <c r="X61" s="17"/>
      <c r="Y61" s="17"/>
      <c r="Z61" s="17"/>
    </row>
    <row r="62" spans="1:26" s="19" customFormat="1" ht="20.100000000000001" hidden="1" customHeight="1">
      <c r="A62" s="17"/>
      <c r="B62" s="17"/>
      <c r="C62" s="17"/>
      <c r="D62" s="1317"/>
      <c r="E62" s="1318"/>
      <c r="F62" s="1318"/>
      <c r="G62" s="1318"/>
      <c r="H62" s="1318"/>
      <c r="I62" s="1318"/>
      <c r="J62" s="1318"/>
      <c r="K62" s="1318"/>
      <c r="L62" s="1318"/>
      <c r="M62" s="1318"/>
      <c r="N62" s="1318"/>
      <c r="O62" s="1318"/>
      <c r="P62" s="1318"/>
      <c r="Q62" s="1318"/>
      <c r="R62" s="1318"/>
      <c r="S62" s="1318"/>
      <c r="T62" s="621"/>
      <c r="U62" s="620"/>
      <c r="V62" s="620"/>
      <c r="W62" s="620"/>
      <c r="X62" s="17"/>
      <c r="Y62" s="17"/>
      <c r="Z62" s="17"/>
    </row>
    <row r="63" spans="1:26" s="19" customFormat="1" ht="21" hidden="1" customHeight="1">
      <c r="A63" s="17"/>
      <c r="B63" s="17"/>
      <c r="C63" s="17"/>
      <c r="D63" s="1317"/>
      <c r="E63" s="1322" t="s">
        <v>97</v>
      </c>
      <c r="F63" s="1323"/>
      <c r="G63" s="1323"/>
      <c r="H63" s="1323"/>
      <c r="I63" s="1323"/>
      <c r="J63" s="1323"/>
      <c r="K63" s="1323"/>
      <c r="L63" s="1324"/>
      <c r="M63" s="1322"/>
      <c r="N63" s="1323"/>
      <c r="O63" s="1323"/>
      <c r="P63" s="1324"/>
      <c r="Q63" s="1319">
        <v>0</v>
      </c>
      <c r="R63" s="1320"/>
      <c r="S63" s="1321"/>
      <c r="T63" s="621"/>
      <c r="U63" s="620"/>
      <c r="V63" s="620"/>
      <c r="W63" s="620"/>
      <c r="X63" s="17"/>
      <c r="Y63" s="17"/>
      <c r="Z63" s="17"/>
    </row>
    <row r="64" spans="1:26" s="19" customFormat="1" ht="21" hidden="1" customHeight="1">
      <c r="A64" s="17"/>
      <c r="B64" s="17"/>
      <c r="C64" s="17"/>
      <c r="D64" s="1317"/>
      <c r="E64" s="1322" t="s">
        <v>98</v>
      </c>
      <c r="F64" s="1323"/>
      <c r="G64" s="1323"/>
      <c r="H64" s="1323"/>
      <c r="I64" s="1323"/>
      <c r="J64" s="1323"/>
      <c r="K64" s="1323"/>
      <c r="L64" s="1324"/>
      <c r="M64" s="1322"/>
      <c r="N64" s="1323"/>
      <c r="O64" s="1323"/>
      <c r="P64" s="1324"/>
      <c r="Q64" s="1325">
        <f>IF(Q63&lt;=0,0,U64)</f>
        <v>0</v>
      </c>
      <c r="R64" s="1325"/>
      <c r="S64" s="1325"/>
      <c r="T64" s="621"/>
      <c r="U64" s="1310">
        <f>ROUND(('Earning- Salary'!N6+'Earning- Salary'!N8+'Earning- Salary'!N12+E23+E24)*10%,0)</f>
        <v>72000</v>
      </c>
      <c r="V64" s="1311"/>
      <c r="W64" s="1311"/>
      <c r="X64" s="17"/>
      <c r="Y64" s="17"/>
      <c r="Z64" s="17"/>
    </row>
    <row r="65" spans="1:26" s="19" customFormat="1" ht="21" hidden="1" customHeight="1">
      <c r="A65" s="17"/>
      <c r="B65" s="17"/>
      <c r="C65" s="17"/>
      <c r="D65" s="24" t="s">
        <v>60</v>
      </c>
      <c r="E65" s="1309" t="s">
        <v>99</v>
      </c>
      <c r="F65" s="1309"/>
      <c r="G65" s="1309"/>
      <c r="H65" s="1309"/>
      <c r="I65" s="1309"/>
      <c r="J65" s="1309"/>
      <c r="K65" s="1309"/>
      <c r="L65" s="1309"/>
      <c r="M65" s="1309"/>
      <c r="N65" s="1309"/>
      <c r="O65" s="1309"/>
      <c r="P65" s="1309"/>
      <c r="Q65" s="1309"/>
      <c r="R65" s="1309"/>
      <c r="S65" s="1309"/>
      <c r="T65" s="621">
        <f>IF(Q63&lt;=0,0,U65)</f>
        <v>0</v>
      </c>
      <c r="U65" s="1310">
        <f>ROUND(('Earning- Salary'!N6+'Earning- Salary'!N8+'Earning- Salary'!N12+E23+E24)*50%,0)</f>
        <v>360000</v>
      </c>
      <c r="V65" s="1311"/>
      <c r="W65" s="1311"/>
      <c r="X65" s="17"/>
      <c r="Y65" s="17"/>
      <c r="Z65" s="17"/>
    </row>
    <row r="66" spans="1:26" s="19" customFormat="1" ht="21" hidden="1" customHeight="1">
      <c r="A66" s="17"/>
      <c r="B66" s="17"/>
      <c r="C66" s="17"/>
      <c r="D66" s="24" t="s">
        <v>71</v>
      </c>
      <c r="E66" s="1309" t="s">
        <v>100</v>
      </c>
      <c r="F66" s="1309"/>
      <c r="G66" s="1309"/>
      <c r="H66" s="1309"/>
      <c r="I66" s="1309"/>
      <c r="J66" s="1309"/>
      <c r="K66" s="1309"/>
      <c r="L66" s="1309"/>
      <c r="M66" s="1309"/>
      <c r="N66" s="1309"/>
      <c r="O66" s="1309"/>
      <c r="P66" s="1309"/>
      <c r="Q66" s="1309"/>
      <c r="R66" s="1309"/>
      <c r="S66" s="1309"/>
      <c r="T66" s="621">
        <f>IF(U66&gt;0,U66,0)</f>
        <v>0</v>
      </c>
      <c r="U66" s="1343">
        <f>MIN(T60:T65)</f>
        <v>0</v>
      </c>
      <c r="V66" s="1344"/>
      <c r="W66" s="1344"/>
      <c r="X66" s="17"/>
      <c r="Y66" s="17"/>
      <c r="Z66" s="17"/>
    </row>
    <row r="67" spans="1:26" s="19" customFormat="1" ht="12.75" hidden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36" hidden="1" customHeight="1">
      <c r="A68" s="31"/>
      <c r="B68" s="34"/>
      <c r="C68" s="1336" t="s">
        <v>418</v>
      </c>
      <c r="D68" s="1337"/>
      <c r="E68" s="1337"/>
      <c r="F68" s="1337"/>
      <c r="G68" s="1337"/>
      <c r="H68" s="1337"/>
      <c r="I68" s="1337"/>
      <c r="J68" s="1337"/>
      <c r="K68" s="1337"/>
      <c r="L68" s="1337"/>
      <c r="M68" s="1337"/>
      <c r="N68" s="1337"/>
      <c r="O68" s="1337"/>
      <c r="P68" s="1337"/>
      <c r="Q68" s="1337"/>
      <c r="R68" s="1337"/>
      <c r="S68" s="1337"/>
      <c r="T68" s="1337"/>
      <c r="U68" s="1337"/>
      <c r="V68" s="1337"/>
      <c r="W68" s="1337"/>
      <c r="X68" s="1337"/>
      <c r="Y68" s="34"/>
      <c r="Z68" s="34"/>
    </row>
    <row r="69" spans="1:26" s="9" customFormat="1" ht="21" hidden="1" customHeight="1">
      <c r="A69" s="40"/>
      <c r="B69" s="38"/>
      <c r="C69" s="41" t="s">
        <v>150</v>
      </c>
      <c r="D69" s="1332" t="s">
        <v>317</v>
      </c>
      <c r="E69" s="1333"/>
      <c r="F69" s="1333"/>
      <c r="G69" s="1333"/>
      <c r="H69" s="1333"/>
      <c r="I69" s="1334"/>
      <c r="J69" s="1335" t="s">
        <v>67</v>
      </c>
      <c r="K69" s="1335"/>
      <c r="L69" s="1335"/>
      <c r="M69" s="1335" t="s">
        <v>66</v>
      </c>
      <c r="N69" s="1335"/>
      <c r="O69" s="1335"/>
      <c r="P69" s="1335" t="s">
        <v>151</v>
      </c>
      <c r="Q69" s="1335"/>
      <c r="R69" s="1335"/>
      <c r="S69" s="1335"/>
      <c r="T69" s="1335" t="s">
        <v>152</v>
      </c>
      <c r="U69" s="1335"/>
      <c r="V69" s="1335"/>
      <c r="W69" s="1335"/>
      <c r="X69" s="1335"/>
      <c r="Y69" s="38"/>
      <c r="Z69" s="40"/>
    </row>
    <row r="70" spans="1:26" ht="21" hidden="1" customHeight="1">
      <c r="A70" s="31"/>
      <c r="B70" s="34"/>
      <c r="C70" s="544">
        <v>1</v>
      </c>
      <c r="D70" s="1338" t="s">
        <v>416</v>
      </c>
      <c r="E70" s="1339"/>
      <c r="F70" s="1339"/>
      <c r="G70" s="1339"/>
      <c r="H70" s="1339"/>
      <c r="I70" s="1340"/>
      <c r="J70" s="1341"/>
      <c r="K70" s="1341"/>
      <c r="L70" s="1341"/>
      <c r="M70" s="1319">
        <v>0</v>
      </c>
      <c r="N70" s="1320"/>
      <c r="O70" s="1321"/>
      <c r="P70" s="1341"/>
      <c r="Q70" s="1341"/>
      <c r="R70" s="1341"/>
      <c r="S70" s="1341"/>
      <c r="T70" s="1345"/>
      <c r="U70" s="1345"/>
      <c r="V70" s="1345"/>
      <c r="W70" s="1345"/>
      <c r="X70" s="1345"/>
      <c r="Y70" s="34"/>
      <c r="Z70" s="31"/>
    </row>
    <row r="71" spans="1:26" ht="21" hidden="1" customHeight="1">
      <c r="A71" s="31"/>
      <c r="B71" s="34"/>
      <c r="C71" s="544">
        <v>2</v>
      </c>
      <c r="D71" s="1338" t="s">
        <v>416</v>
      </c>
      <c r="E71" s="1339"/>
      <c r="F71" s="1339"/>
      <c r="G71" s="1339"/>
      <c r="H71" s="1339"/>
      <c r="I71" s="1340"/>
      <c r="J71" s="1341"/>
      <c r="K71" s="1341"/>
      <c r="L71" s="1341"/>
      <c r="M71" s="1319">
        <v>0</v>
      </c>
      <c r="N71" s="1320"/>
      <c r="O71" s="1321"/>
      <c r="P71" s="1342"/>
      <c r="Q71" s="1342"/>
      <c r="R71" s="1342"/>
      <c r="S71" s="1342"/>
      <c r="T71" s="1341"/>
      <c r="U71" s="1341"/>
      <c r="V71" s="1341"/>
      <c r="W71" s="1341"/>
      <c r="X71" s="1341"/>
      <c r="Y71" s="34"/>
      <c r="Z71" s="31"/>
    </row>
    <row r="72" spans="1:26" ht="21" hidden="1" customHeight="1">
      <c r="A72" s="31"/>
      <c r="B72" s="34"/>
      <c r="C72" s="545">
        <v>3</v>
      </c>
      <c r="D72" s="1375" t="s">
        <v>413</v>
      </c>
      <c r="E72" s="1376"/>
      <c r="F72" s="1376"/>
      <c r="G72" s="1376"/>
      <c r="H72" s="1376"/>
      <c r="I72" s="1377"/>
      <c r="J72" s="1368"/>
      <c r="K72" s="1368"/>
      <c r="L72" s="1368"/>
      <c r="M72" s="1319">
        <v>0</v>
      </c>
      <c r="N72" s="1320"/>
      <c r="O72" s="1321"/>
      <c r="P72" s="1342"/>
      <c r="Q72" s="1342"/>
      <c r="R72" s="1342"/>
      <c r="S72" s="1342"/>
      <c r="T72" s="1341"/>
      <c r="U72" s="1341"/>
      <c r="V72" s="1341"/>
      <c r="W72" s="1341"/>
      <c r="X72" s="1341"/>
      <c r="Y72" s="34"/>
      <c r="Z72" s="31"/>
    </row>
    <row r="73" spans="1:26" ht="21" hidden="1" customHeight="1">
      <c r="A73" s="31"/>
      <c r="B73" s="34"/>
      <c r="C73" s="545">
        <v>4</v>
      </c>
      <c r="D73" s="1338" t="s">
        <v>414</v>
      </c>
      <c r="E73" s="1339"/>
      <c r="F73" s="1339"/>
      <c r="G73" s="1339"/>
      <c r="H73" s="1339"/>
      <c r="I73" s="1340"/>
      <c r="J73" s="1341"/>
      <c r="K73" s="1341"/>
      <c r="L73" s="1341"/>
      <c r="M73" s="1319">
        <v>0</v>
      </c>
      <c r="N73" s="1320"/>
      <c r="O73" s="1321"/>
      <c r="P73" s="1342"/>
      <c r="Q73" s="1342"/>
      <c r="R73" s="1342"/>
      <c r="S73" s="1342"/>
      <c r="T73" s="1341"/>
      <c r="U73" s="1341"/>
      <c r="V73" s="1341"/>
      <c r="W73" s="1341"/>
      <c r="X73" s="1341"/>
      <c r="Y73" s="34"/>
      <c r="Z73" s="31"/>
    </row>
    <row r="74" spans="1:26" ht="21" hidden="1" customHeight="1">
      <c r="A74" s="31"/>
      <c r="B74" s="34"/>
      <c r="C74" s="545">
        <v>5</v>
      </c>
      <c r="D74" s="1338" t="s">
        <v>415</v>
      </c>
      <c r="E74" s="1339"/>
      <c r="F74" s="1339"/>
      <c r="G74" s="1339"/>
      <c r="H74" s="1339"/>
      <c r="I74" s="1340"/>
      <c r="J74" s="1341"/>
      <c r="K74" s="1341"/>
      <c r="L74" s="1341"/>
      <c r="M74" s="1319">
        <v>0</v>
      </c>
      <c r="N74" s="1320"/>
      <c r="O74" s="1321"/>
      <c r="P74" s="1342"/>
      <c r="Q74" s="1342"/>
      <c r="R74" s="1342"/>
      <c r="S74" s="1342"/>
      <c r="T74" s="1341"/>
      <c r="U74" s="1341"/>
      <c r="V74" s="1341"/>
      <c r="W74" s="1341"/>
      <c r="X74" s="1341"/>
      <c r="Y74" s="34"/>
      <c r="Z74" s="31"/>
    </row>
    <row r="75" spans="1:26" ht="35.25" hidden="1" customHeight="1">
      <c r="A75" s="31"/>
      <c r="B75" s="34"/>
      <c r="C75" s="1369" t="s">
        <v>204</v>
      </c>
      <c r="D75" s="1370"/>
      <c r="E75" s="1370"/>
      <c r="F75" s="1370"/>
      <c r="G75" s="1370"/>
      <c r="H75" s="1370"/>
      <c r="I75" s="1370"/>
      <c r="J75" s="1370"/>
      <c r="K75" s="1370"/>
      <c r="L75" s="1370"/>
      <c r="M75" s="1370"/>
      <c r="N75" s="1370"/>
      <c r="O75" s="1370"/>
      <c r="P75" s="1370"/>
      <c r="Q75" s="1370"/>
      <c r="R75" s="1370"/>
      <c r="S75" s="1370"/>
      <c r="T75" s="1370"/>
      <c r="U75" s="1370"/>
      <c r="V75" s="1370"/>
      <c r="W75" s="1370"/>
      <c r="X75" s="1370"/>
      <c r="Y75" s="34"/>
      <c r="Z75" s="31"/>
    </row>
    <row r="76" spans="1:26" ht="21" hidden="1" customHeight="1">
      <c r="A76" s="31"/>
      <c r="B76" s="34"/>
      <c r="C76" s="593"/>
      <c r="D76" s="593"/>
      <c r="E76" s="1378" t="s">
        <v>444</v>
      </c>
      <c r="F76" s="1379"/>
      <c r="G76" s="1379"/>
      <c r="H76" s="1379"/>
      <c r="I76" s="1379"/>
      <c r="J76" s="1379"/>
      <c r="K76" s="1379"/>
      <c r="L76" s="1379"/>
      <c r="M76" s="1379"/>
      <c r="N76" s="1379"/>
      <c r="O76" s="1379"/>
      <c r="P76" s="1379"/>
      <c r="Q76" s="1379"/>
      <c r="R76" s="1379"/>
      <c r="S76" s="1379"/>
      <c r="T76" s="1379"/>
      <c r="U76" s="1379"/>
      <c r="V76" s="1379"/>
      <c r="W76" s="1379"/>
      <c r="X76" s="1380"/>
      <c r="Y76" s="34"/>
      <c r="Z76" s="31"/>
    </row>
    <row r="77" spans="1:26" ht="21" hidden="1" customHeight="1">
      <c r="A77" s="31"/>
      <c r="B77" s="34"/>
      <c r="C77" s="594" t="s">
        <v>441</v>
      </c>
      <c r="D77" s="593"/>
      <c r="E77" s="1381"/>
      <c r="F77" s="1382"/>
      <c r="G77" s="1382"/>
      <c r="H77" s="1382"/>
      <c r="I77" s="1382"/>
      <c r="J77" s="1382"/>
      <c r="K77" s="1382"/>
      <c r="L77" s="1382"/>
      <c r="M77" s="1382"/>
      <c r="N77" s="1382"/>
      <c r="O77" s="1382"/>
      <c r="P77" s="1382"/>
      <c r="Q77" s="1382"/>
      <c r="R77" s="1382"/>
      <c r="S77" s="1382"/>
      <c r="T77" s="1382"/>
      <c r="U77" s="1382"/>
      <c r="V77" s="1382"/>
      <c r="W77" s="1382"/>
      <c r="X77" s="1383"/>
      <c r="Y77" s="34"/>
      <c r="Z77" s="31"/>
    </row>
    <row r="78" spans="1:26" ht="21" hidden="1" customHeight="1">
      <c r="A78" s="31"/>
      <c r="B78" s="34"/>
      <c r="C78" s="594" t="s">
        <v>442</v>
      </c>
      <c r="D78" s="593"/>
      <c r="E78" s="1384"/>
      <c r="F78" s="1385"/>
      <c r="G78" s="1385"/>
      <c r="H78" s="1385"/>
      <c r="I78" s="1385"/>
      <c r="J78" s="1385"/>
      <c r="K78" s="1385"/>
      <c r="L78" s="1385"/>
      <c r="M78" s="1385"/>
      <c r="N78" s="1385"/>
      <c r="O78" s="1385"/>
      <c r="P78" s="1385"/>
      <c r="Q78" s="1385"/>
      <c r="R78" s="1385"/>
      <c r="S78" s="1385"/>
      <c r="T78" s="1385"/>
      <c r="U78" s="1385"/>
      <c r="V78" s="1385"/>
      <c r="W78" s="1385"/>
      <c r="X78" s="1386"/>
      <c r="Y78" s="34"/>
      <c r="Z78" s="31"/>
    </row>
    <row r="79" spans="1:26" ht="21" hidden="1" customHeight="1">
      <c r="A79" s="31"/>
      <c r="B79" s="34"/>
      <c r="C79" s="587"/>
      <c r="D79" s="589"/>
      <c r="E79" s="595" t="s">
        <v>440</v>
      </c>
      <c r="F79" s="596"/>
      <c r="G79" s="596"/>
      <c r="H79" s="596"/>
      <c r="I79" s="596"/>
      <c r="J79" s="596"/>
      <c r="K79" s="596"/>
      <c r="L79" s="596"/>
      <c r="M79" s="597"/>
      <c r="N79" s="598"/>
      <c r="O79" s="590"/>
      <c r="P79" s="599" t="s">
        <v>441</v>
      </c>
      <c r="Q79" s="587"/>
      <c r="R79" s="587"/>
      <c r="S79" s="587"/>
      <c r="T79" s="587"/>
      <c r="U79" s="587"/>
      <c r="V79" s="587"/>
      <c r="W79" s="587"/>
      <c r="X79" s="587"/>
      <c r="Y79" s="34"/>
      <c r="Z79" s="31"/>
    </row>
    <row r="80" spans="1:26" ht="3.75" hidden="1" customHeight="1">
      <c r="A80" s="29"/>
      <c r="B80" s="37"/>
      <c r="C80" s="593"/>
      <c r="D80" s="591"/>
      <c r="E80" s="592"/>
      <c r="F80" s="592"/>
      <c r="G80" s="592"/>
      <c r="H80" s="592"/>
      <c r="I80" s="592"/>
      <c r="J80" s="592"/>
      <c r="K80" s="592"/>
      <c r="L80" s="592"/>
      <c r="M80" s="592"/>
      <c r="N80" s="592"/>
      <c r="O80" s="592"/>
      <c r="P80" s="592"/>
      <c r="Q80" s="592"/>
      <c r="R80" s="592"/>
      <c r="S80" s="592"/>
      <c r="T80" s="592"/>
      <c r="U80" s="592"/>
      <c r="V80" s="592"/>
      <c r="W80" s="592"/>
      <c r="X80" s="592"/>
      <c r="Y80" s="34"/>
      <c r="Z80" s="31"/>
    </row>
    <row r="81" spans="1:37" ht="21" hidden="1" customHeight="1">
      <c r="A81" s="29"/>
      <c r="B81" s="37"/>
      <c r="C81" s="602" t="s">
        <v>291</v>
      </c>
      <c r="D81" s="603"/>
      <c r="E81" s="421"/>
      <c r="F81" s="421"/>
      <c r="G81" s="421"/>
      <c r="H81" s="422" t="s">
        <v>96</v>
      </c>
      <c r="I81" s="422"/>
      <c r="J81" s="423"/>
      <c r="K81" s="423"/>
      <c r="L81" s="423"/>
      <c r="M81" s="423"/>
      <c r="N81" s="423"/>
      <c r="O81" s="423"/>
      <c r="P81" s="423"/>
      <c r="Q81" s="423"/>
      <c r="R81" s="423"/>
      <c r="S81" s="424"/>
      <c r="T81" s="425"/>
      <c r="U81" s="31"/>
      <c r="V81" s="31"/>
      <c r="W81" s="81"/>
      <c r="X81" s="81"/>
      <c r="Y81" s="34"/>
      <c r="Z81" s="31"/>
    </row>
    <row r="82" spans="1:37" ht="21" hidden="1" customHeight="1">
      <c r="A82" s="29"/>
      <c r="B82" s="37"/>
      <c r="C82" s="604"/>
      <c r="D82" s="103"/>
      <c r="E82" s="605"/>
      <c r="F82" s="605"/>
      <c r="G82" s="605"/>
      <c r="H82" s="22"/>
      <c r="I82" s="22"/>
      <c r="J82" s="82"/>
      <c r="K82" s="82"/>
      <c r="L82" s="82"/>
      <c r="M82" s="82"/>
      <c r="N82" s="82"/>
      <c r="O82" s="82"/>
      <c r="P82" s="82"/>
      <c r="Q82" s="82"/>
      <c r="R82" s="83" t="s">
        <v>364</v>
      </c>
      <c r="S82" s="1373">
        <v>42270</v>
      </c>
      <c r="T82" s="1374"/>
      <c r="U82" s="1366" t="s">
        <v>316</v>
      </c>
      <c r="V82" s="1367"/>
      <c r="W82" s="1367"/>
      <c r="X82" s="1367"/>
      <c r="Y82" s="34"/>
      <c r="Z82" s="31"/>
    </row>
    <row r="83" spans="1:37" ht="21" hidden="1" customHeight="1">
      <c r="A83" s="31"/>
      <c r="B83" s="34"/>
      <c r="C83" s="378"/>
      <c r="D83" s="379"/>
      <c r="E83" s="380"/>
      <c r="F83" s="380"/>
      <c r="G83" s="380"/>
      <c r="H83" s="380"/>
      <c r="I83" s="380"/>
      <c r="J83" s="380"/>
      <c r="K83" s="380"/>
      <c r="L83" s="380"/>
      <c r="M83" s="380"/>
      <c r="N83" s="380"/>
      <c r="O83" s="380"/>
      <c r="P83" s="380"/>
      <c r="Q83" s="381"/>
      <c r="R83" s="382" t="s">
        <v>360</v>
      </c>
      <c r="S83" s="1371">
        <v>0</v>
      </c>
      <c r="T83" s="1372"/>
      <c r="U83" s="31"/>
      <c r="V83" s="23"/>
      <c r="W83" s="34"/>
      <c r="X83" s="34"/>
      <c r="Y83" s="34"/>
      <c r="Z83" s="31"/>
    </row>
    <row r="84" spans="1:37" ht="18" hidden="1" customHeight="1">
      <c r="A84" s="31"/>
      <c r="B84" s="34"/>
      <c r="C84" s="587"/>
      <c r="D84" s="587"/>
      <c r="E84" s="588"/>
      <c r="F84" s="588"/>
      <c r="G84" s="588"/>
      <c r="H84" s="588"/>
      <c r="I84" s="588"/>
      <c r="J84" s="588"/>
      <c r="K84" s="588"/>
      <c r="L84" s="588"/>
      <c r="M84" s="588"/>
      <c r="N84" s="588"/>
      <c r="O84" s="588"/>
      <c r="P84" s="588"/>
      <c r="Q84" s="600"/>
      <c r="R84" s="45">
        <f>S83+'Earning- Salary'!N33</f>
        <v>0</v>
      </c>
      <c r="S84" s="45">
        <f>IF(P79="Yes",200000,IF(AND(T84&gt;=1,T84&lt;36251),30000,IF(AND(T84&gt;=36251,T84&lt;42731),150000,IF(AND(T84=0,),0,))))</f>
        <v>200000</v>
      </c>
      <c r="T84" s="601">
        <f>S82</f>
        <v>42270</v>
      </c>
      <c r="U84" s="45">
        <f>MIN(S84,R84)</f>
        <v>0</v>
      </c>
      <c r="V84" s="45"/>
      <c r="W84" s="587"/>
      <c r="X84" s="587"/>
      <c r="Y84" s="34"/>
      <c r="Z84" s="31"/>
    </row>
    <row r="85" spans="1:37" ht="21" hidden="1" customHeight="1">
      <c r="A85" s="31"/>
      <c r="B85" s="31"/>
      <c r="C85" s="353" t="s">
        <v>113</v>
      </c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spans="1:37" ht="21" hidden="1" customHeight="1">
      <c r="A86" s="31"/>
      <c r="B86" s="31"/>
      <c r="C86" s="46">
        <v>1</v>
      </c>
      <c r="D86" s="52" t="s">
        <v>112</v>
      </c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155"/>
      <c r="U86" s="643">
        <v>0</v>
      </c>
      <c r="V86" s="644"/>
      <c r="W86" s="645"/>
      <c r="X86" s="31"/>
      <c r="Y86" s="31"/>
      <c r="Z86" s="31"/>
    </row>
    <row r="87" spans="1:37" ht="21" hidden="1" customHeight="1">
      <c r="A87" s="31"/>
      <c r="B87" s="31"/>
      <c r="C87" s="390" t="s">
        <v>353</v>
      </c>
      <c r="D87" s="646" t="s">
        <v>21</v>
      </c>
      <c r="E87" s="391"/>
      <c r="F87" s="391"/>
      <c r="G87" s="392" t="s">
        <v>356</v>
      </c>
      <c r="H87" s="392"/>
      <c r="I87" s="392"/>
      <c r="J87" s="392"/>
      <c r="K87" s="392"/>
      <c r="L87" s="392"/>
      <c r="M87" s="392"/>
      <c r="N87" s="392"/>
      <c r="O87" s="392" t="s">
        <v>462</v>
      </c>
      <c r="P87" s="392"/>
      <c r="Q87" s="391"/>
      <c r="R87" s="392"/>
      <c r="S87" s="392"/>
      <c r="T87" s="393"/>
      <c r="U87" s="1398">
        <v>0</v>
      </c>
      <c r="V87" s="1399"/>
      <c r="W87" s="1400"/>
      <c r="X87" s="31"/>
      <c r="Y87" s="31"/>
      <c r="Z87" s="31"/>
    </row>
    <row r="88" spans="1:37" ht="21" hidden="1" customHeight="1">
      <c r="A88" s="31"/>
      <c r="B88" s="31"/>
      <c r="C88" s="394"/>
      <c r="D88" s="395" t="s">
        <v>357</v>
      </c>
      <c r="E88" s="396"/>
      <c r="F88" s="396"/>
      <c r="G88" s="397"/>
      <c r="H88" s="397"/>
      <c r="I88" s="397"/>
      <c r="J88" s="397"/>
      <c r="K88" s="397"/>
      <c r="L88" s="397"/>
      <c r="M88" s="397"/>
      <c r="N88" s="397"/>
      <c r="O88" s="398" t="s">
        <v>359</v>
      </c>
      <c r="P88" s="397"/>
      <c r="Q88" s="396"/>
      <c r="R88" s="397"/>
      <c r="S88" s="397"/>
      <c r="T88" s="399"/>
      <c r="U88" s="1401"/>
      <c r="V88" s="1402"/>
      <c r="W88" s="1403"/>
      <c r="X88" s="31"/>
      <c r="Y88" s="31"/>
      <c r="Z88" s="31"/>
    </row>
    <row r="89" spans="1:37" ht="21" hidden="1" customHeight="1">
      <c r="A89" s="31"/>
      <c r="B89" s="31"/>
      <c r="C89" s="400" t="s">
        <v>354</v>
      </c>
      <c r="D89" s="1394" t="s">
        <v>21</v>
      </c>
      <c r="E89" s="1395"/>
      <c r="F89" s="1395"/>
      <c r="G89" s="392" t="s">
        <v>355</v>
      </c>
      <c r="H89" s="392"/>
      <c r="I89" s="392"/>
      <c r="J89" s="392"/>
      <c r="K89" s="392"/>
      <c r="L89" s="392"/>
      <c r="M89" s="392"/>
      <c r="N89" s="392"/>
      <c r="O89" s="392" t="s">
        <v>462</v>
      </c>
      <c r="P89" s="392"/>
      <c r="Q89" s="392"/>
      <c r="R89" s="392"/>
      <c r="S89" s="392"/>
      <c r="T89" s="392"/>
      <c r="U89" s="1398">
        <v>0</v>
      </c>
      <c r="V89" s="1399"/>
      <c r="W89" s="1400"/>
      <c r="X89" s="31"/>
      <c r="Y89" s="31"/>
      <c r="Z89" s="31"/>
    </row>
    <row r="90" spans="1:37" ht="21" hidden="1" customHeight="1">
      <c r="A90" s="31"/>
      <c r="B90" s="31"/>
      <c r="C90" s="401"/>
      <c r="D90" s="395" t="s">
        <v>358</v>
      </c>
      <c r="E90" s="396"/>
      <c r="F90" s="396"/>
      <c r="G90" s="397"/>
      <c r="H90" s="397"/>
      <c r="I90" s="397"/>
      <c r="J90" s="397"/>
      <c r="K90" s="397"/>
      <c r="L90" s="397"/>
      <c r="M90" s="397"/>
      <c r="N90" s="397"/>
      <c r="O90" s="398" t="s">
        <v>359</v>
      </c>
      <c r="P90" s="398"/>
      <c r="Q90" s="398"/>
      <c r="R90" s="398"/>
      <c r="S90" s="398"/>
      <c r="T90" s="398"/>
      <c r="U90" s="1401"/>
      <c r="V90" s="1402"/>
      <c r="W90" s="1403"/>
      <c r="X90" s="31"/>
      <c r="Y90" s="31"/>
      <c r="Z90" s="31"/>
    </row>
    <row r="91" spans="1:37" ht="21" hidden="1" customHeight="1">
      <c r="A91" s="31"/>
      <c r="B91" s="31"/>
      <c r="C91" s="389">
        <v>3</v>
      </c>
      <c r="D91" s="1364" t="s">
        <v>28</v>
      </c>
      <c r="E91" s="1365"/>
      <c r="F91" s="1365"/>
      <c r="G91" s="53" t="s">
        <v>29</v>
      </c>
      <c r="H91" s="53"/>
      <c r="I91" s="53"/>
      <c r="J91" s="53"/>
      <c r="K91" s="53"/>
      <c r="L91" s="53"/>
      <c r="M91" s="53"/>
      <c r="N91" s="53"/>
      <c r="O91" s="53" t="s">
        <v>453</v>
      </c>
      <c r="P91" s="53"/>
      <c r="Q91" s="53"/>
      <c r="R91" s="53"/>
      <c r="S91" s="53"/>
      <c r="T91" s="369"/>
      <c r="U91" s="1346">
        <v>0</v>
      </c>
      <c r="V91" s="1347"/>
      <c r="W91" s="1348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</row>
    <row r="92" spans="1:37" ht="21" hidden="1" customHeight="1">
      <c r="A92" s="31"/>
      <c r="B92" s="31"/>
      <c r="C92" s="46">
        <v>4</v>
      </c>
      <c r="D92" s="1364" t="s">
        <v>451</v>
      </c>
      <c r="E92" s="1365"/>
      <c r="F92" s="1365"/>
      <c r="G92" s="53" t="s">
        <v>11</v>
      </c>
      <c r="H92" s="53"/>
      <c r="I92" s="53"/>
      <c r="J92" s="53"/>
      <c r="K92" s="53"/>
      <c r="L92" s="53"/>
      <c r="M92" s="53"/>
      <c r="N92" s="53"/>
      <c r="O92" s="53" t="s">
        <v>282</v>
      </c>
      <c r="P92" s="53"/>
      <c r="Q92" s="53"/>
      <c r="R92" s="53"/>
      <c r="S92" s="53"/>
      <c r="T92" s="155"/>
      <c r="U92" s="1346">
        <v>0</v>
      </c>
      <c r="V92" s="1347"/>
      <c r="W92" s="1348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</row>
    <row r="93" spans="1:37" ht="21" hidden="1" customHeight="1">
      <c r="A93" s="31"/>
      <c r="B93" s="31"/>
      <c r="C93" s="614">
        <v>5</v>
      </c>
      <c r="D93" s="1396" t="s">
        <v>190</v>
      </c>
      <c r="E93" s="1397"/>
      <c r="F93" s="1397"/>
      <c r="G93" s="609" t="s">
        <v>281</v>
      </c>
      <c r="H93" s="609"/>
      <c r="I93" s="609"/>
      <c r="J93" s="609"/>
      <c r="K93" s="609"/>
      <c r="L93" s="609"/>
      <c r="M93" s="609"/>
      <c r="N93" s="609"/>
      <c r="O93" s="609" t="s">
        <v>467</v>
      </c>
      <c r="P93" s="609"/>
      <c r="Q93" s="609"/>
      <c r="R93" s="609"/>
      <c r="S93" s="609"/>
      <c r="T93" s="615"/>
      <c r="U93" s="1303">
        <v>0</v>
      </c>
      <c r="V93" s="1304"/>
      <c r="W93" s="1305"/>
      <c r="X93" s="616"/>
      <c r="Y93" s="612"/>
      <c r="Z93" s="31"/>
      <c r="AA93" s="1415"/>
      <c r="AB93" s="1415"/>
      <c r="AC93" s="1415"/>
      <c r="AD93" s="1415"/>
      <c r="AE93" s="31"/>
      <c r="AF93" s="31"/>
      <c r="AG93" s="31"/>
      <c r="AH93" s="31"/>
      <c r="AI93" s="31"/>
      <c r="AJ93" s="31"/>
      <c r="AK93" s="31"/>
    </row>
    <row r="94" spans="1:37" ht="21" hidden="1" customHeight="1">
      <c r="A94" s="31"/>
      <c r="B94" s="31"/>
      <c r="C94" s="371" t="s">
        <v>465</v>
      </c>
      <c r="D94" s="347"/>
      <c r="E94" s="607"/>
      <c r="F94" s="608"/>
      <c r="G94" s="609"/>
      <c r="H94" s="609"/>
      <c r="I94" s="609"/>
      <c r="J94" s="609"/>
      <c r="K94" s="609"/>
      <c r="L94" s="609"/>
      <c r="M94" s="610">
        <v>79</v>
      </c>
      <c r="N94" s="611" t="s">
        <v>307</v>
      </c>
      <c r="O94" s="609" t="s">
        <v>466</v>
      </c>
      <c r="P94" s="609"/>
      <c r="Q94" s="609"/>
      <c r="R94" s="609"/>
      <c r="S94" s="609"/>
      <c r="T94" s="607"/>
      <c r="U94" s="1416">
        <f>IF(U93&lt;X94,U93,X94)</f>
        <v>0</v>
      </c>
      <c r="V94" s="1416"/>
      <c r="W94" s="1417"/>
      <c r="X94" s="617">
        <f>IF(M94&lt;80,75000,125000)</f>
        <v>75000</v>
      </c>
      <c r="Y94" s="613"/>
      <c r="Z94" s="31"/>
      <c r="AA94" s="29"/>
      <c r="AB94" s="31"/>
      <c r="AC94" s="31"/>
      <c r="AD94" s="31"/>
      <c r="AE94" s="31"/>
      <c r="AF94" s="31"/>
      <c r="AG94" s="31"/>
      <c r="AH94" s="31"/>
      <c r="AI94" s="31"/>
      <c r="AJ94" s="31"/>
      <c r="AK94" s="31"/>
    </row>
    <row r="95" spans="1:37" ht="21" hidden="1" customHeight="1">
      <c r="A95" s="31"/>
      <c r="B95" s="31"/>
      <c r="C95" s="46">
        <v>6</v>
      </c>
      <c r="D95" s="1392" t="s">
        <v>7</v>
      </c>
      <c r="E95" s="1393"/>
      <c r="F95" s="126" t="s">
        <v>8</v>
      </c>
      <c r="G95" s="54" t="s">
        <v>417</v>
      </c>
      <c r="H95" s="54"/>
      <c r="I95" s="54"/>
      <c r="J95" s="54"/>
      <c r="K95" s="54"/>
      <c r="L95" s="54"/>
      <c r="M95" s="54"/>
      <c r="N95" s="54"/>
      <c r="O95" s="53" t="s">
        <v>338</v>
      </c>
      <c r="P95" s="54"/>
      <c r="Q95" s="54"/>
      <c r="R95" s="54"/>
      <c r="S95" s="54"/>
      <c r="T95" s="155"/>
      <c r="U95" s="1346">
        <v>0</v>
      </c>
      <c r="V95" s="1347"/>
      <c r="W95" s="1348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</row>
    <row r="96" spans="1:37" ht="21" hidden="1" customHeight="1">
      <c r="A96" s="31"/>
      <c r="B96" s="31"/>
      <c r="C96" s="46">
        <v>7</v>
      </c>
      <c r="D96" s="1364" t="s">
        <v>191</v>
      </c>
      <c r="E96" s="1365"/>
      <c r="F96" s="1365"/>
      <c r="G96" s="53"/>
      <c r="H96" s="123"/>
      <c r="I96" s="123"/>
      <c r="J96" s="123"/>
      <c r="K96" s="123"/>
      <c r="L96" s="123"/>
      <c r="M96" s="372">
        <f>U96</f>
        <v>0</v>
      </c>
      <c r="N96" s="53"/>
      <c r="O96" s="53" t="s">
        <v>339</v>
      </c>
      <c r="P96" s="53"/>
      <c r="Q96" s="53"/>
      <c r="R96" s="53"/>
      <c r="S96" s="53"/>
      <c r="T96" s="155"/>
      <c r="U96" s="1346">
        <v>0</v>
      </c>
      <c r="V96" s="1347"/>
      <c r="W96" s="1348"/>
      <c r="X96" s="31"/>
      <c r="Y96" s="31"/>
      <c r="Z96" s="31"/>
    </row>
    <row r="97" spans="1:26" ht="21" hidden="1" customHeight="1">
      <c r="A97" s="31"/>
      <c r="B97" s="31"/>
      <c r="C97" s="46">
        <v>8</v>
      </c>
      <c r="D97" s="52" t="s">
        <v>192</v>
      </c>
      <c r="E97" s="53"/>
      <c r="F97" s="53"/>
      <c r="G97" s="54"/>
      <c r="H97" s="124"/>
      <c r="I97" s="124"/>
      <c r="J97" s="124"/>
      <c r="K97" s="124"/>
      <c r="L97" s="124"/>
      <c r="M97" s="124">
        <f>ROUND(U97/2,0)</f>
        <v>0</v>
      </c>
      <c r="N97" s="54"/>
      <c r="O97" s="53" t="s">
        <v>340</v>
      </c>
      <c r="P97" s="54"/>
      <c r="Q97" s="54"/>
      <c r="R97" s="54"/>
      <c r="S97" s="54"/>
      <c r="T97" s="155"/>
      <c r="U97" s="1346">
        <v>0</v>
      </c>
      <c r="V97" s="1347"/>
      <c r="W97" s="1348"/>
      <c r="X97" s="31"/>
      <c r="Y97" s="31"/>
      <c r="Z97" s="31"/>
    </row>
    <row r="98" spans="1:26" ht="21" hidden="1" customHeight="1">
      <c r="A98" s="31"/>
      <c r="B98" s="31"/>
      <c r="C98" s="46">
        <v>9</v>
      </c>
      <c r="D98" s="53" t="s">
        <v>193</v>
      </c>
      <c r="E98" s="53"/>
      <c r="F98" s="53"/>
      <c r="G98" s="55"/>
      <c r="H98" s="124"/>
      <c r="I98" s="124"/>
      <c r="J98" s="124"/>
      <c r="K98" s="124"/>
      <c r="L98" s="124"/>
      <c r="M98" s="124">
        <f>ROUND(U98*0.4,0)</f>
        <v>0</v>
      </c>
      <c r="N98" s="55"/>
      <c r="O98" s="53" t="s">
        <v>341</v>
      </c>
      <c r="P98" s="55"/>
      <c r="Q98" s="55"/>
      <c r="R98" s="55"/>
      <c r="S98" s="55"/>
      <c r="T98" s="155"/>
      <c r="U98" s="1346">
        <v>0</v>
      </c>
      <c r="V98" s="1347"/>
      <c r="W98" s="1348"/>
      <c r="X98" s="31"/>
      <c r="Y98" s="31"/>
      <c r="Z98" s="31"/>
    </row>
    <row r="99" spans="1:26" ht="21" hidden="1" customHeight="1">
      <c r="A99" s="31"/>
      <c r="B99" s="31"/>
      <c r="C99" s="46">
        <v>10</v>
      </c>
      <c r="D99" s="414" t="s">
        <v>194</v>
      </c>
      <c r="E99" s="53"/>
      <c r="F99" s="53"/>
      <c r="G99" s="55"/>
      <c r="H99" s="55"/>
      <c r="I99" s="55"/>
      <c r="J99" s="55"/>
      <c r="K99" s="55"/>
      <c r="L99" s="55"/>
      <c r="M99" s="124">
        <f>ROUND(U99*0.4,0)</f>
        <v>0</v>
      </c>
      <c r="N99" s="55"/>
      <c r="O99" s="53" t="s">
        <v>341</v>
      </c>
      <c r="P99" s="55"/>
      <c r="Q99" s="55"/>
      <c r="R99" s="55"/>
      <c r="S99" s="55"/>
      <c r="T99" s="555"/>
      <c r="U99" s="1346">
        <v>0</v>
      </c>
      <c r="V99" s="1347"/>
      <c r="W99" s="1348"/>
      <c r="X99" s="31"/>
      <c r="Y99" s="31"/>
      <c r="Z99" s="31"/>
    </row>
    <row r="100" spans="1:26" ht="21" hidden="1" customHeight="1">
      <c r="A100" s="31"/>
      <c r="B100" s="31"/>
      <c r="C100" s="46">
        <v>11</v>
      </c>
      <c r="D100" s="556" t="s">
        <v>267</v>
      </c>
      <c r="E100" s="53"/>
      <c r="F100" s="53"/>
      <c r="G100" s="55"/>
      <c r="H100" s="124"/>
      <c r="I100" s="124"/>
      <c r="J100" s="124"/>
      <c r="K100" s="124"/>
      <c r="L100" s="124"/>
      <c r="M100" s="124"/>
      <c r="N100" s="55"/>
      <c r="O100" s="53"/>
      <c r="P100" s="55"/>
      <c r="Q100" s="55"/>
      <c r="R100" s="55"/>
      <c r="S100" s="55"/>
      <c r="T100" s="555"/>
      <c r="U100" s="1346">
        <v>0</v>
      </c>
      <c r="V100" s="1347"/>
      <c r="W100" s="1348"/>
      <c r="X100" s="31"/>
      <c r="Y100" s="31"/>
      <c r="Z100" s="31"/>
    </row>
    <row r="101" spans="1:26" ht="21" hidden="1" customHeight="1">
      <c r="A101" s="31"/>
      <c r="B101" s="31"/>
      <c r="C101" s="46">
        <v>12</v>
      </c>
      <c r="D101" s="556" t="s">
        <v>426</v>
      </c>
      <c r="E101" s="53"/>
      <c r="F101" s="53"/>
      <c r="G101" s="560" t="s">
        <v>428</v>
      </c>
      <c r="H101" s="124"/>
      <c r="I101" s="124"/>
      <c r="J101" s="124"/>
      <c r="K101" s="124"/>
      <c r="L101" s="124"/>
      <c r="M101" s="124"/>
      <c r="N101" s="55"/>
      <c r="O101" s="53"/>
      <c r="P101" s="55"/>
      <c r="Q101" s="55"/>
      <c r="R101" s="55"/>
      <c r="S101" s="55"/>
      <c r="T101" s="555"/>
      <c r="U101" s="1418">
        <v>0</v>
      </c>
      <c r="V101" s="1419"/>
      <c r="W101" s="1420"/>
      <c r="X101" s="31"/>
      <c r="Y101" s="31"/>
      <c r="Z101" s="31"/>
    </row>
    <row r="102" spans="1:26" ht="21" hidden="1" customHeight="1">
      <c r="A102" s="31"/>
      <c r="B102" s="31"/>
      <c r="C102" s="46">
        <v>13</v>
      </c>
      <c r="D102" s="556" t="s">
        <v>427</v>
      </c>
      <c r="E102" s="53"/>
      <c r="F102" s="53"/>
      <c r="G102" s="560" t="s">
        <v>428</v>
      </c>
      <c r="H102" s="124"/>
      <c r="I102" s="124"/>
      <c r="J102" s="124"/>
      <c r="K102" s="124"/>
      <c r="L102" s="124"/>
      <c r="M102" s="124"/>
      <c r="N102" s="55"/>
      <c r="O102" s="53"/>
      <c r="P102" s="55"/>
      <c r="Q102" s="55"/>
      <c r="R102" s="55"/>
      <c r="S102" s="55"/>
      <c r="T102" s="555"/>
      <c r="U102" s="1418">
        <v>0</v>
      </c>
      <c r="V102" s="1419"/>
      <c r="W102" s="1420"/>
      <c r="X102" s="31"/>
      <c r="Y102" s="31"/>
      <c r="Z102" s="31"/>
    </row>
    <row r="103" spans="1:26" ht="5.25" hidden="1" customHeight="1">
      <c r="A103" s="31"/>
      <c r="B103" s="31"/>
      <c r="C103" s="47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4"/>
      <c r="Q103" s="34"/>
      <c r="R103" s="34"/>
      <c r="S103" s="34"/>
      <c r="T103" s="34"/>
      <c r="U103" s="34"/>
      <c r="V103" s="34"/>
      <c r="W103" s="34"/>
      <c r="X103" s="34"/>
      <c r="Y103" s="31"/>
      <c r="Z103" s="31"/>
    </row>
    <row r="104" spans="1:26" ht="21" hidden="1" customHeight="1">
      <c r="A104" s="31"/>
      <c r="B104" s="31"/>
      <c r="C104" s="36"/>
      <c r="D104" s="31"/>
      <c r="E104" s="29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4"/>
      <c r="Q104" s="34"/>
      <c r="R104" s="34"/>
      <c r="S104" s="34"/>
      <c r="T104" s="34"/>
      <c r="U104" s="34"/>
      <c r="V104" s="34"/>
      <c r="W104" s="34"/>
      <c r="X104" s="34"/>
      <c r="Y104" s="31"/>
      <c r="Z104" s="31"/>
    </row>
    <row r="105" spans="1:26" ht="9.9499999999999993" hidden="1" customHeight="1">
      <c r="A105" s="31"/>
      <c r="B105" s="31"/>
      <c r="C105" s="47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4"/>
      <c r="Q105" s="34"/>
      <c r="R105" s="34"/>
      <c r="S105" s="34"/>
      <c r="T105" s="34"/>
      <c r="U105" s="34"/>
      <c r="V105" s="34"/>
      <c r="W105" s="34"/>
      <c r="X105" s="34"/>
      <c r="Y105" s="31"/>
      <c r="Z105" s="31"/>
    </row>
    <row r="106" spans="1:26" ht="21" hidden="1" customHeight="1">
      <c r="A106" s="31"/>
      <c r="B106" s="31"/>
      <c r="C106" s="46">
        <v>1</v>
      </c>
      <c r="D106" s="556" t="s">
        <v>433</v>
      </c>
      <c r="E106" s="53"/>
      <c r="F106" s="53"/>
      <c r="G106" s="55"/>
      <c r="H106" s="124"/>
      <c r="I106" s="124"/>
      <c r="J106" s="124"/>
      <c r="K106" s="124"/>
      <c r="L106" s="124"/>
      <c r="M106" s="124"/>
      <c r="N106" s="561" t="s">
        <v>430</v>
      </c>
      <c r="O106" s="53"/>
      <c r="P106" s="55"/>
      <c r="Q106" s="55"/>
      <c r="R106" s="55"/>
      <c r="S106" s="55"/>
      <c r="T106" s="555"/>
      <c r="U106" s="1424">
        <f>'Earning- Salary'!N39</f>
        <v>0</v>
      </c>
      <c r="V106" s="1425"/>
      <c r="W106" s="1426"/>
      <c r="X106" s="31"/>
      <c r="Y106" s="31"/>
      <c r="Z106" s="31"/>
    </row>
    <row r="107" spans="1:26" ht="21" hidden="1" customHeight="1">
      <c r="A107" s="31"/>
      <c r="B107" s="31"/>
      <c r="C107" s="46">
        <v>2</v>
      </c>
      <c r="D107" s="556" t="s">
        <v>434</v>
      </c>
      <c r="E107" s="53"/>
      <c r="F107" s="53"/>
      <c r="G107" s="55"/>
      <c r="H107" s="124"/>
      <c r="I107" s="124"/>
      <c r="J107" s="124"/>
      <c r="K107" s="124"/>
      <c r="L107" s="124"/>
      <c r="M107" s="124"/>
      <c r="N107" s="561" t="s">
        <v>429</v>
      </c>
      <c r="O107" s="53"/>
      <c r="P107" s="55"/>
      <c r="Q107" s="55"/>
      <c r="R107" s="55"/>
      <c r="S107" s="55"/>
      <c r="T107" s="555"/>
      <c r="U107" s="1346">
        <v>0</v>
      </c>
      <c r="V107" s="1347"/>
      <c r="W107" s="1348"/>
      <c r="X107" s="31"/>
      <c r="Y107" s="31"/>
      <c r="Z107" s="31"/>
    </row>
    <row r="108" spans="1:26" ht="4.5" hidden="1" customHeight="1">
      <c r="A108" s="31"/>
      <c r="B108" s="31"/>
      <c r="C108" s="47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4"/>
      <c r="Q108" s="34"/>
      <c r="R108" s="34"/>
      <c r="S108" s="34"/>
      <c r="T108" s="34"/>
      <c r="U108" s="34"/>
      <c r="V108" s="34"/>
      <c r="W108" s="34"/>
      <c r="X108" s="34"/>
      <c r="Y108" s="31"/>
      <c r="Z108" s="31"/>
    </row>
    <row r="109" spans="1:26" ht="21" hidden="1" customHeight="1">
      <c r="A109" s="31"/>
      <c r="B109" s="31"/>
      <c r="C109" s="36" t="s">
        <v>285</v>
      </c>
      <c r="D109" s="31"/>
      <c r="E109" s="29" t="s">
        <v>289</v>
      </c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4"/>
      <c r="Q109" s="34"/>
      <c r="R109" s="34"/>
      <c r="S109" s="34"/>
      <c r="T109" s="34"/>
      <c r="U109" s="34"/>
      <c r="V109" s="34"/>
      <c r="W109" s="34"/>
      <c r="X109" s="34"/>
      <c r="Y109" s="31"/>
      <c r="Z109" s="31"/>
    </row>
    <row r="110" spans="1:26" ht="4.5" hidden="1" customHeight="1">
      <c r="A110" s="31"/>
      <c r="B110" s="31"/>
      <c r="C110" s="47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4"/>
      <c r="Q110" s="34"/>
      <c r="R110" s="34"/>
      <c r="S110" s="34"/>
      <c r="T110" s="34"/>
      <c r="U110" s="34"/>
      <c r="V110" s="34"/>
      <c r="W110" s="34"/>
      <c r="X110" s="34"/>
      <c r="Y110" s="31"/>
      <c r="Z110" s="31"/>
    </row>
    <row r="111" spans="1:26" ht="21" hidden="1" customHeight="1">
      <c r="A111" s="31"/>
      <c r="B111" s="31"/>
      <c r="C111" s="46">
        <v>1</v>
      </c>
      <c r="D111" s="53" t="s">
        <v>290</v>
      </c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155"/>
      <c r="U111" s="1358">
        <v>0</v>
      </c>
      <c r="V111" s="1359"/>
      <c r="W111" s="1360"/>
      <c r="X111" s="31"/>
      <c r="Y111" s="31"/>
      <c r="Z111" s="31"/>
    </row>
    <row r="112" spans="1:26" ht="21" hidden="1" customHeight="1">
      <c r="A112" s="31"/>
      <c r="B112" s="31"/>
      <c r="C112" s="46">
        <v>2</v>
      </c>
      <c r="D112" s="52" t="s">
        <v>425</v>
      </c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 t="s">
        <v>293</v>
      </c>
      <c r="P112" s="53"/>
      <c r="Q112" s="53"/>
      <c r="R112" s="53"/>
      <c r="S112" s="53"/>
      <c r="T112" s="155"/>
      <c r="U112" s="1346">
        <v>0</v>
      </c>
      <c r="V112" s="1347"/>
      <c r="W112" s="1348"/>
      <c r="X112" s="31"/>
      <c r="Y112" s="31"/>
      <c r="Z112" s="31"/>
    </row>
    <row r="113" spans="1:26" ht="9.9499999999999993" hidden="1" customHeight="1">
      <c r="A113" s="31"/>
      <c r="B113" s="31"/>
      <c r="C113" s="47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4"/>
      <c r="Q113" s="34"/>
      <c r="R113" s="34"/>
      <c r="S113" s="34"/>
      <c r="T113" s="34"/>
      <c r="U113" s="34"/>
      <c r="V113" s="34"/>
      <c r="W113" s="34"/>
      <c r="X113" s="34"/>
      <c r="Y113" s="31"/>
      <c r="Z113" s="31"/>
    </row>
    <row r="114" spans="1:26" ht="21" hidden="1" customHeight="1">
      <c r="A114" s="31"/>
      <c r="B114" s="31"/>
      <c r="C114" s="36" t="s">
        <v>287</v>
      </c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4"/>
      <c r="Q114" s="34"/>
      <c r="R114" s="34"/>
      <c r="S114" s="34"/>
      <c r="T114" s="34"/>
      <c r="U114" s="34"/>
      <c r="V114" s="34"/>
      <c r="W114" s="34"/>
      <c r="X114" s="34"/>
      <c r="Y114" s="31"/>
      <c r="Z114" s="31"/>
    </row>
    <row r="115" spans="1:26" ht="9.9499999999999993" hidden="1" customHeight="1">
      <c r="A115" s="31"/>
      <c r="B115" s="31"/>
      <c r="C115" s="47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4"/>
      <c r="Q115" s="34"/>
      <c r="R115" s="34"/>
      <c r="S115" s="34"/>
      <c r="T115" s="34"/>
      <c r="U115" s="34"/>
      <c r="V115" s="34"/>
      <c r="W115" s="34"/>
      <c r="X115" s="34"/>
      <c r="Y115" s="31"/>
      <c r="Z115" s="31"/>
    </row>
    <row r="116" spans="1:26" ht="21" hidden="1" customHeight="1">
      <c r="A116" s="31"/>
      <c r="B116" s="31"/>
      <c r="C116" s="46">
        <v>1</v>
      </c>
      <c r="D116" s="1356" t="s">
        <v>134</v>
      </c>
      <c r="E116" s="1357"/>
      <c r="F116" s="1357"/>
      <c r="G116" s="1357"/>
      <c r="H116" s="1357"/>
      <c r="I116" s="1357"/>
      <c r="J116" s="1357"/>
      <c r="K116" s="1357"/>
      <c r="L116" s="1357"/>
      <c r="M116" s="1357"/>
      <c r="N116" s="1357"/>
      <c r="O116" s="1357"/>
      <c r="P116" s="1357"/>
      <c r="Q116" s="1357"/>
      <c r="R116" s="1357"/>
      <c r="S116" s="1357"/>
      <c r="T116" s="155"/>
      <c r="U116" s="1358">
        <v>0</v>
      </c>
      <c r="V116" s="1359"/>
      <c r="W116" s="1360"/>
      <c r="X116" s="31"/>
      <c r="Y116" s="31"/>
      <c r="Z116" s="31"/>
    </row>
    <row r="117" spans="1:26" ht="21" hidden="1" customHeight="1">
      <c r="A117" s="31"/>
      <c r="B117" s="31"/>
      <c r="C117" s="46">
        <v>2</v>
      </c>
      <c r="D117" s="52" t="s">
        <v>136</v>
      </c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155"/>
      <c r="U117" s="1358">
        <v>0</v>
      </c>
      <c r="V117" s="1359"/>
      <c r="W117" s="1360"/>
      <c r="X117" s="31"/>
      <c r="Y117" s="31"/>
      <c r="Z117" s="31"/>
    </row>
    <row r="118" spans="1:26" ht="21" hidden="1" customHeight="1">
      <c r="A118" s="31"/>
      <c r="B118" s="31"/>
      <c r="C118" s="46">
        <v>3</v>
      </c>
      <c r="D118" s="1356" t="s">
        <v>138</v>
      </c>
      <c r="E118" s="1357"/>
      <c r="F118" s="1357"/>
      <c r="G118" s="1357"/>
      <c r="H118" s="1357"/>
      <c r="I118" s="1357"/>
      <c r="J118" s="1357"/>
      <c r="K118" s="1357"/>
      <c r="L118" s="1357"/>
      <c r="M118" s="1357"/>
      <c r="N118" s="1357"/>
      <c r="O118" s="1357"/>
      <c r="P118" s="1357"/>
      <c r="Q118" s="1357"/>
      <c r="R118" s="1357"/>
      <c r="S118" s="1357"/>
      <c r="T118" s="155"/>
      <c r="U118" s="1358">
        <v>0</v>
      </c>
      <c r="V118" s="1359"/>
      <c r="W118" s="1360"/>
      <c r="X118" s="31"/>
      <c r="Y118" s="31"/>
      <c r="Z118" s="31"/>
    </row>
    <row r="119" spans="1:26" ht="21" hidden="1" customHeight="1">
      <c r="A119" s="31"/>
      <c r="B119" s="31"/>
      <c r="C119" s="46">
        <v>5</v>
      </c>
      <c r="D119" s="1356" t="s">
        <v>470</v>
      </c>
      <c r="E119" s="1357"/>
      <c r="F119" s="1357"/>
      <c r="G119" s="1357"/>
      <c r="H119" s="1357"/>
      <c r="I119" s="1357"/>
      <c r="J119" s="1357"/>
      <c r="K119" s="1357"/>
      <c r="L119" s="1357"/>
      <c r="M119" s="1357"/>
      <c r="N119" s="1357"/>
      <c r="O119" s="1357"/>
      <c r="P119" s="1357"/>
      <c r="Q119" s="1357"/>
      <c r="R119" s="1357"/>
      <c r="S119" s="1357"/>
      <c r="T119" s="155"/>
      <c r="U119" s="1358">
        <v>0</v>
      </c>
      <c r="V119" s="1359"/>
      <c r="W119" s="1360"/>
      <c r="X119" s="31"/>
      <c r="Y119" s="31"/>
      <c r="Z119" s="31"/>
    </row>
    <row r="120" spans="1:26" ht="21" hidden="1" customHeight="1">
      <c r="A120" s="31"/>
      <c r="B120" s="31"/>
      <c r="C120" s="46">
        <v>6</v>
      </c>
      <c r="D120" s="1356" t="s">
        <v>161</v>
      </c>
      <c r="E120" s="1357"/>
      <c r="F120" s="1357"/>
      <c r="G120" s="1357"/>
      <c r="H120" s="1357"/>
      <c r="I120" s="1357"/>
      <c r="J120" s="1357"/>
      <c r="K120" s="1357"/>
      <c r="L120" s="1357"/>
      <c r="M120" s="1357"/>
      <c r="N120" s="1357"/>
      <c r="O120" s="1357"/>
      <c r="P120" s="1357"/>
      <c r="Q120" s="1357"/>
      <c r="R120" s="1357"/>
      <c r="S120" s="1357"/>
      <c r="T120" s="155"/>
      <c r="U120" s="1358">
        <v>0</v>
      </c>
      <c r="V120" s="1359"/>
      <c r="W120" s="1360"/>
      <c r="X120" s="31"/>
      <c r="Y120" s="31"/>
      <c r="Z120" s="31"/>
    </row>
    <row r="121" spans="1:26" ht="21" hidden="1" customHeight="1">
      <c r="A121" s="31"/>
      <c r="B121" s="31"/>
      <c r="C121" s="46"/>
      <c r="D121" s="52" t="s">
        <v>478</v>
      </c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155"/>
      <c r="U121" s="1358">
        <v>0</v>
      </c>
      <c r="V121" s="1359"/>
      <c r="W121" s="1360"/>
      <c r="X121" s="31"/>
      <c r="Y121" s="31"/>
      <c r="Z121" s="31"/>
    </row>
    <row r="122" spans="1:26" ht="21" hidden="1" customHeight="1">
      <c r="A122" s="31"/>
      <c r="B122" s="31"/>
      <c r="C122" s="46">
        <v>7</v>
      </c>
      <c r="D122" s="1356" t="s">
        <v>139</v>
      </c>
      <c r="E122" s="1357"/>
      <c r="F122" s="1357"/>
      <c r="G122" s="1357"/>
      <c r="H122" s="1357"/>
      <c r="I122" s="1357"/>
      <c r="J122" s="1357"/>
      <c r="K122" s="1357"/>
      <c r="L122" s="1357"/>
      <c r="M122" s="1357"/>
      <c r="N122" s="1357"/>
      <c r="O122" s="1357"/>
      <c r="P122" s="1357"/>
      <c r="Q122" s="1357"/>
      <c r="R122" s="1357"/>
      <c r="S122" s="1357"/>
      <c r="T122" s="155"/>
      <c r="U122" s="1358">
        <v>0</v>
      </c>
      <c r="V122" s="1359"/>
      <c r="W122" s="1360"/>
      <c r="X122" s="31"/>
      <c r="Y122" s="31"/>
      <c r="Z122" s="31"/>
    </row>
    <row r="123" spans="1:26" ht="15" hidden="1">
      <c r="A123" s="348"/>
      <c r="B123" s="348"/>
      <c r="C123" s="1349">
        <v>8</v>
      </c>
      <c r="D123" s="1350" t="s">
        <v>337</v>
      </c>
      <c r="E123" s="1351"/>
      <c r="F123" s="1351"/>
      <c r="G123" s="1351"/>
      <c r="H123" s="1351"/>
      <c r="I123" s="1351"/>
      <c r="J123" s="1351"/>
      <c r="K123" s="1351"/>
      <c r="L123" s="1351"/>
      <c r="M123" s="1351"/>
      <c r="N123" s="1351"/>
      <c r="O123" s="1351"/>
      <c r="P123" s="56"/>
      <c r="Q123" s="57"/>
      <c r="R123" s="1361" t="s">
        <v>85</v>
      </c>
      <c r="S123" s="1362"/>
      <c r="T123" s="1363"/>
      <c r="U123" s="1389">
        <v>0</v>
      </c>
      <c r="V123" s="1390"/>
      <c r="W123" s="1391"/>
      <c r="X123" s="348"/>
      <c r="Y123" s="31"/>
      <c r="Z123" s="31"/>
    </row>
    <row r="124" spans="1:26" ht="15" hidden="1">
      <c r="A124" s="348"/>
      <c r="B124" s="348"/>
      <c r="C124" s="1349"/>
      <c r="D124" s="1352"/>
      <c r="E124" s="1353"/>
      <c r="F124" s="1353"/>
      <c r="G124" s="1353"/>
      <c r="H124" s="1353"/>
      <c r="I124" s="1353"/>
      <c r="J124" s="1353"/>
      <c r="K124" s="1353"/>
      <c r="L124" s="1353"/>
      <c r="M124" s="1353"/>
      <c r="N124" s="1353"/>
      <c r="O124" s="1353"/>
      <c r="P124" s="58"/>
      <c r="Q124" s="59"/>
      <c r="R124" s="1361" t="s">
        <v>84</v>
      </c>
      <c r="S124" s="1362"/>
      <c r="T124" s="1363"/>
      <c r="U124" s="1389">
        <v>0</v>
      </c>
      <c r="V124" s="1390"/>
      <c r="W124" s="1391"/>
      <c r="X124" s="348"/>
      <c r="Y124" s="31"/>
      <c r="Z124" s="31"/>
    </row>
    <row r="125" spans="1:26" ht="15" hidden="1">
      <c r="A125" s="348"/>
      <c r="B125" s="348"/>
      <c r="C125" s="1349"/>
      <c r="D125" s="1354"/>
      <c r="E125" s="1355"/>
      <c r="F125" s="1355"/>
      <c r="G125" s="1355"/>
      <c r="H125" s="1355"/>
      <c r="I125" s="1355"/>
      <c r="J125" s="1355"/>
      <c r="K125" s="1355"/>
      <c r="L125" s="1355"/>
      <c r="M125" s="1355"/>
      <c r="N125" s="1355"/>
      <c r="O125" s="1355"/>
      <c r="P125" s="383">
        <f>IF(12000&gt;=U123,U123,12000)</f>
        <v>0</v>
      </c>
      <c r="Q125" s="384">
        <f>IF(12000&gt;=U124,U124,12000)</f>
        <v>0</v>
      </c>
      <c r="R125" s="1361" t="s">
        <v>70</v>
      </c>
      <c r="S125" s="1362"/>
      <c r="T125" s="1363"/>
      <c r="U125" s="1421">
        <f>U123+U124</f>
        <v>0</v>
      </c>
      <c r="V125" s="1422"/>
      <c r="W125" s="1423"/>
      <c r="X125" s="348"/>
      <c r="Y125" s="31"/>
      <c r="Z125" s="31"/>
    </row>
    <row r="126" spans="1:26" ht="21" hidden="1" customHeight="1">
      <c r="A126" s="348"/>
      <c r="B126" s="348"/>
      <c r="C126" s="354">
        <v>9</v>
      </c>
      <c r="D126" s="1387" t="s">
        <v>313</v>
      </c>
      <c r="E126" s="1388"/>
      <c r="F126" s="1388"/>
      <c r="G126" s="1388"/>
      <c r="H126" s="1388"/>
      <c r="I126" s="1388"/>
      <c r="J126" s="1388"/>
      <c r="K126" s="1388"/>
      <c r="L126" s="1388"/>
      <c r="M126" s="1388"/>
      <c r="N126" s="1388"/>
      <c r="O126" s="1388"/>
      <c r="P126" s="1388"/>
      <c r="Q126" s="1388"/>
      <c r="R126" s="1388"/>
      <c r="S126" s="1388"/>
      <c r="T126" s="350"/>
      <c r="U126" s="1389">
        <v>0</v>
      </c>
      <c r="V126" s="1390"/>
      <c r="W126" s="1391"/>
      <c r="X126" s="348"/>
      <c r="Y126" s="31"/>
      <c r="Z126" s="31"/>
    </row>
    <row r="127" spans="1:26" ht="21" hidden="1" customHeight="1">
      <c r="A127" s="348"/>
      <c r="B127" s="348"/>
      <c r="C127" s="349">
        <v>10</v>
      </c>
      <c r="D127" s="1387" t="s">
        <v>140</v>
      </c>
      <c r="E127" s="1388"/>
      <c r="F127" s="1388"/>
      <c r="G127" s="1388"/>
      <c r="H127" s="1388"/>
      <c r="I127" s="1388"/>
      <c r="J127" s="1388"/>
      <c r="K127" s="1388"/>
      <c r="L127" s="1388"/>
      <c r="M127" s="1388"/>
      <c r="N127" s="1388"/>
      <c r="O127" s="1388"/>
      <c r="P127" s="1388"/>
      <c r="Q127" s="1388"/>
      <c r="R127" s="1388"/>
      <c r="S127" s="1388"/>
      <c r="T127" s="543">
        <f>E30+U127</f>
        <v>0</v>
      </c>
      <c r="U127" s="1414">
        <v>0</v>
      </c>
      <c r="V127" s="1414"/>
      <c r="W127" s="1414"/>
      <c r="X127" s="348"/>
      <c r="Y127" s="31"/>
      <c r="Z127" s="31"/>
    </row>
    <row r="128" spans="1:26" ht="21" hidden="1" customHeight="1">
      <c r="A128" s="31"/>
      <c r="B128" s="31"/>
      <c r="C128" s="408">
        <v>11</v>
      </c>
      <c r="D128" s="409" t="s">
        <v>365</v>
      </c>
      <c r="E128" s="410"/>
      <c r="F128" s="410"/>
      <c r="G128" s="347"/>
      <c r="H128" s="411"/>
      <c r="I128" s="411"/>
      <c r="J128" s="411"/>
      <c r="K128" s="411"/>
      <c r="L128" s="411"/>
      <c r="M128" s="411"/>
      <c r="N128" s="411"/>
      <c r="O128" s="347"/>
      <c r="P128" s="412"/>
      <c r="Q128" s="412"/>
      <c r="R128" s="412"/>
      <c r="S128" s="412"/>
      <c r="T128" s="413"/>
      <c r="U128" s="1346">
        <v>0</v>
      </c>
      <c r="V128" s="1347"/>
      <c r="W128" s="1348"/>
      <c r="X128" s="31"/>
      <c r="Y128" s="31"/>
      <c r="Z128" s="31"/>
    </row>
    <row r="129" spans="1:26" ht="2.25" hidden="1" customHeight="1">
      <c r="A129" s="348"/>
      <c r="B129" s="348"/>
      <c r="C129" s="17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31"/>
      <c r="Z129" s="31"/>
    </row>
    <row r="130" spans="1:26" ht="21" hidden="1" customHeight="1">
      <c r="A130" s="29"/>
      <c r="B130" s="37"/>
      <c r="C130" s="419" t="s">
        <v>206</v>
      </c>
      <c r="D130" s="414"/>
      <c r="E130" s="414"/>
      <c r="F130" s="414"/>
      <c r="G130" s="414"/>
      <c r="H130" s="414"/>
      <c r="I130" s="414"/>
      <c r="J130" s="414"/>
      <c r="K130" s="414"/>
      <c r="L130" s="414"/>
      <c r="M130" s="414"/>
      <c r="N130" s="414"/>
      <c r="O130" s="414"/>
      <c r="P130" s="414"/>
      <c r="Q130" s="414"/>
      <c r="R130" s="414"/>
      <c r="S130" s="414"/>
      <c r="T130" s="420"/>
      <c r="U130" s="1412">
        <v>0</v>
      </c>
      <c r="V130" s="1412"/>
      <c r="W130" s="1412"/>
      <c r="X130" s="351"/>
      <c r="Y130" s="31"/>
      <c r="Z130" s="31"/>
    </row>
    <row r="131" spans="1:26" ht="21" customHeight="1">
      <c r="A131" s="31"/>
      <c r="B131" s="34"/>
      <c r="C131" s="34"/>
      <c r="D131" s="42"/>
      <c r="E131" s="34"/>
      <c r="F131" s="34"/>
      <c r="G131" s="34"/>
      <c r="H131" s="34"/>
      <c r="I131" s="34"/>
      <c r="J131" s="34"/>
      <c r="K131" s="34"/>
      <c r="L131" s="34"/>
      <c r="M131" s="43"/>
      <c r="N131" s="43"/>
      <c r="O131" s="43"/>
      <c r="P131" s="43"/>
      <c r="Q131" s="34"/>
      <c r="R131" s="34"/>
      <c r="S131" s="34"/>
      <c r="T131" s="34"/>
      <c r="U131" s="34"/>
      <c r="V131" s="34"/>
      <c r="W131" s="34"/>
      <c r="X131" s="34"/>
      <c r="Y131" s="34"/>
      <c r="Z131" s="31"/>
    </row>
    <row r="132" spans="1:26" ht="21.75" customHeight="1">
      <c r="A132" s="31"/>
      <c r="B132" s="34"/>
      <c r="C132" s="34"/>
      <c r="D132" s="35" t="s">
        <v>159</v>
      </c>
      <c r="E132" s="1410" t="str">
        <f>'Master Deails'!B26</f>
        <v>AHWA</v>
      </c>
      <c r="F132" s="1410"/>
      <c r="G132" s="1410"/>
      <c r="H132" s="1410"/>
      <c r="I132" s="1410"/>
      <c r="J132" s="1410"/>
      <c r="K132" s="34" t="s">
        <v>78</v>
      </c>
      <c r="L132" s="34"/>
      <c r="M132" s="34"/>
      <c r="N132" s="1413"/>
      <c r="O132" s="1413"/>
      <c r="P132" s="1413"/>
      <c r="Q132" s="1413"/>
      <c r="R132" s="1413"/>
      <c r="S132" s="34"/>
      <c r="T132" s="1413"/>
      <c r="U132" s="1413"/>
      <c r="V132" s="1413"/>
      <c r="W132" s="1413"/>
      <c r="X132" s="1413"/>
      <c r="Y132" s="34"/>
      <c r="Z132" s="31"/>
    </row>
    <row r="133" spans="1:26" ht="21.75" customHeight="1">
      <c r="A133" s="31"/>
      <c r="B133" s="34"/>
      <c r="C133" s="34"/>
      <c r="D133" s="35" t="s">
        <v>160</v>
      </c>
      <c r="E133" s="1411">
        <f ca="1">TODAY()</f>
        <v>44729</v>
      </c>
      <c r="F133" s="1411"/>
      <c r="G133" s="1411"/>
      <c r="H133" s="1411"/>
      <c r="I133" s="1411"/>
      <c r="J133" s="1411"/>
      <c r="K133" s="34" t="s">
        <v>63</v>
      </c>
      <c r="L133" s="34"/>
      <c r="M133" s="34" t="str">
        <f>'Master Deails'!A7</f>
        <v>SHRI K J PATEL</v>
      </c>
      <c r="N133" s="34"/>
      <c r="O133" s="34"/>
      <c r="P133" s="34"/>
      <c r="Q133" s="34"/>
      <c r="R133" s="34"/>
      <c r="S133" s="1413"/>
      <c r="T133" s="1413"/>
      <c r="U133" s="1413"/>
      <c r="V133" s="1413"/>
      <c r="W133" s="1413"/>
      <c r="X133" s="1413"/>
      <c r="Y133" s="34"/>
      <c r="Z133" s="31"/>
    </row>
    <row r="134" spans="1:26" ht="21.75" customHeight="1">
      <c r="A134" s="31"/>
      <c r="B134" s="34"/>
      <c r="C134" s="34"/>
      <c r="D134" s="42"/>
      <c r="E134" s="34"/>
      <c r="F134" s="34"/>
      <c r="G134" s="34"/>
      <c r="H134" s="34"/>
      <c r="I134" s="34"/>
      <c r="J134" s="34"/>
      <c r="K134" s="34" t="s">
        <v>93</v>
      </c>
      <c r="L134" s="34"/>
      <c r="M134" s="34"/>
      <c r="N134" s="34" t="str">
        <f>'Master Deails'!A18</f>
        <v>RETIRED PS 2 DDO DANGS</v>
      </c>
      <c r="O134" s="34"/>
      <c r="P134" s="34"/>
      <c r="Q134" s="34"/>
      <c r="R134" s="34"/>
      <c r="S134" s="34"/>
      <c r="T134" s="1413"/>
      <c r="U134" s="1413"/>
      <c r="V134" s="1413"/>
      <c r="W134" s="1413"/>
      <c r="X134" s="1413"/>
      <c r="Y134" s="34"/>
      <c r="Z134" s="31"/>
    </row>
    <row r="135" spans="1:26" ht="21.75" customHeight="1">
      <c r="A135" s="31"/>
      <c r="B135" s="34"/>
      <c r="C135" s="34"/>
      <c r="D135" s="42"/>
      <c r="E135" s="34"/>
      <c r="F135" s="34"/>
      <c r="G135" s="34"/>
      <c r="H135" s="34"/>
      <c r="I135" s="34"/>
      <c r="J135" s="44"/>
      <c r="K135" s="44"/>
      <c r="L135" s="44"/>
      <c r="M135" s="44"/>
      <c r="N135" s="44"/>
      <c r="O135" s="44"/>
      <c r="P135" s="43"/>
      <c r="Q135" s="34"/>
      <c r="R135" s="34"/>
      <c r="S135" s="34"/>
      <c r="T135" s="34"/>
      <c r="U135" s="34"/>
      <c r="V135" s="34"/>
      <c r="W135" s="34"/>
      <c r="X135" s="34"/>
      <c r="Y135" s="34"/>
      <c r="Z135" s="31"/>
    </row>
    <row r="136" spans="1:26" ht="21.75" hidden="1" customHeight="1">
      <c r="A136" s="31"/>
      <c r="B136" s="34"/>
      <c r="C136" s="34"/>
      <c r="D136" s="42"/>
      <c r="E136" s="34"/>
      <c r="F136" s="34"/>
      <c r="G136" s="34"/>
      <c r="H136" s="34"/>
      <c r="I136" s="34"/>
      <c r="J136" s="44"/>
      <c r="K136" s="44"/>
      <c r="L136" s="44"/>
      <c r="M136" s="44"/>
      <c r="N136" s="44"/>
      <c r="O136" s="44"/>
      <c r="P136" s="43"/>
      <c r="Q136" s="34"/>
      <c r="R136" s="34"/>
      <c r="S136" s="34"/>
      <c r="T136" s="34"/>
      <c r="U136" s="34"/>
      <c r="V136" s="34"/>
      <c r="W136" s="34"/>
      <c r="X136" s="34"/>
      <c r="Y136" s="34"/>
      <c r="Z136" s="31"/>
    </row>
    <row r="137" spans="1:26" ht="21.75" hidden="1" customHeight="1">
      <c r="A137" s="31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1"/>
      <c r="Z137" s="31"/>
    </row>
    <row r="138" spans="1:26" ht="21.75" hidden="1" customHeight="1">
      <c r="A138" s="31"/>
      <c r="B138" s="34"/>
      <c r="C138" s="156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8"/>
      <c r="R138" s="157"/>
      <c r="S138" s="157"/>
      <c r="T138" s="157"/>
      <c r="U138" s="157"/>
      <c r="V138" s="157"/>
      <c r="W138" s="157"/>
      <c r="X138" s="157"/>
      <c r="Y138" s="34"/>
      <c r="Z138" s="31"/>
    </row>
    <row r="139" spans="1:26" s="51" customFormat="1" ht="21.75" hidden="1" customHeight="1">
      <c r="A139" s="31"/>
      <c r="B139" s="31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</row>
    <row r="140" spans="1:26" s="63" customFormat="1" ht="21.75" hidden="1" customHeight="1">
      <c r="A140" s="60"/>
      <c r="B140" s="60"/>
      <c r="C140" s="61"/>
      <c r="D140" s="62"/>
      <c r="E140" s="62"/>
      <c r="F140" s="1409"/>
      <c r="G140" s="1409"/>
      <c r="H140" s="1409"/>
      <c r="I140" s="1409"/>
      <c r="J140" s="1409"/>
      <c r="K140" s="1409"/>
      <c r="L140" s="1409"/>
      <c r="M140" s="1409"/>
      <c r="N140" s="1409"/>
      <c r="O140" s="1409"/>
      <c r="P140" s="1409"/>
      <c r="Q140" s="1409"/>
      <c r="R140" s="1409"/>
      <c r="S140" s="1409"/>
      <c r="T140" s="1409"/>
      <c r="U140" s="1409"/>
      <c r="V140" s="1409"/>
      <c r="W140" s="1409"/>
      <c r="X140" s="1409"/>
      <c r="Y140" s="1409"/>
      <c r="Z140" s="62"/>
    </row>
    <row r="141" spans="1:26" s="63" customFormat="1" ht="21.75" hidden="1" customHeight="1">
      <c r="A141" s="60"/>
      <c r="B141" s="60"/>
      <c r="C141" s="61"/>
      <c r="D141" s="72"/>
      <c r="E141" s="72"/>
      <c r="F141" s="1405"/>
      <c r="G141" s="1405"/>
      <c r="H141" s="1405"/>
      <c r="I141" s="1404"/>
      <c r="J141" s="1404"/>
      <c r="K141" s="1404"/>
      <c r="L141" s="1404"/>
      <c r="M141" s="1404"/>
      <c r="N141" s="1404"/>
      <c r="O141" s="1404"/>
      <c r="P141" s="1404"/>
      <c r="Q141" s="1404"/>
      <c r="R141" s="1404"/>
      <c r="S141" s="1404"/>
      <c r="T141" s="1404"/>
      <c r="U141" s="1406"/>
      <c r="V141" s="1406"/>
      <c r="W141" s="1406"/>
      <c r="X141" s="1406"/>
      <c r="Y141" s="1406"/>
      <c r="Z141" s="64"/>
    </row>
    <row r="142" spans="1:26" s="63" customFormat="1" ht="21.75" hidden="1" customHeight="1">
      <c r="A142" s="60"/>
      <c r="B142" s="60"/>
      <c r="C142" s="61"/>
      <c r="D142" s="72"/>
      <c r="E142" s="72"/>
      <c r="F142" s="1405"/>
      <c r="G142" s="1405"/>
      <c r="H142" s="1405"/>
      <c r="I142" s="1404"/>
      <c r="J142" s="1404"/>
      <c r="K142" s="1404"/>
      <c r="L142" s="1404"/>
      <c r="M142" s="1404"/>
      <c r="N142" s="1404"/>
      <c r="O142" s="1404"/>
      <c r="P142" s="1404"/>
      <c r="Q142" s="1404"/>
      <c r="R142" s="1404"/>
      <c r="S142" s="1404"/>
      <c r="T142" s="1404"/>
      <c r="U142" s="1406"/>
      <c r="V142" s="1406"/>
      <c r="W142" s="1406"/>
      <c r="X142" s="1406"/>
      <c r="Y142" s="1406"/>
      <c r="Z142" s="64"/>
    </row>
    <row r="143" spans="1:26" s="63" customFormat="1" ht="21.75" hidden="1" customHeight="1">
      <c r="A143" s="60"/>
      <c r="B143" s="60"/>
      <c r="C143" s="61"/>
      <c r="D143" s="72"/>
      <c r="E143" s="72"/>
      <c r="F143" s="1405"/>
      <c r="G143" s="1405"/>
      <c r="H143" s="1405"/>
      <c r="I143" s="1404"/>
      <c r="J143" s="1404"/>
      <c r="K143" s="1404"/>
      <c r="L143" s="1404"/>
      <c r="M143" s="1404"/>
      <c r="N143" s="1404"/>
      <c r="O143" s="1404"/>
      <c r="P143" s="1404"/>
      <c r="Q143" s="1404"/>
      <c r="R143" s="1404"/>
      <c r="S143" s="1404"/>
      <c r="T143" s="1404"/>
      <c r="U143" s="1406"/>
      <c r="V143" s="1406"/>
      <c r="W143" s="1406"/>
      <c r="X143" s="1406"/>
      <c r="Y143" s="1406"/>
      <c r="Z143" s="64"/>
    </row>
    <row r="144" spans="1:26" s="63" customFormat="1" ht="21.75" hidden="1" customHeight="1">
      <c r="A144" s="60"/>
      <c r="B144" s="60"/>
      <c r="C144" s="61"/>
      <c r="D144" s="72"/>
      <c r="E144" s="72"/>
      <c r="F144" s="1405"/>
      <c r="G144" s="1405"/>
      <c r="H144" s="1405"/>
      <c r="I144" s="1404"/>
      <c r="J144" s="1404"/>
      <c r="K144" s="1404"/>
      <c r="L144" s="1404"/>
      <c r="M144" s="1404"/>
      <c r="N144" s="1404"/>
      <c r="O144" s="1404"/>
      <c r="P144" s="1404"/>
      <c r="Q144" s="1404"/>
      <c r="R144" s="1404"/>
      <c r="S144" s="1404"/>
      <c r="T144" s="1404"/>
      <c r="U144" s="1406"/>
      <c r="V144" s="1406"/>
      <c r="W144" s="1406"/>
      <c r="X144" s="1406"/>
      <c r="Y144" s="1406"/>
      <c r="Z144" s="64"/>
    </row>
    <row r="145" spans="1:26" s="63" customFormat="1" ht="21.75" hidden="1" customHeight="1">
      <c r="A145" s="60"/>
      <c r="B145" s="60"/>
      <c r="C145" s="61"/>
      <c r="D145" s="72"/>
      <c r="E145" s="72"/>
      <c r="F145" s="1405"/>
      <c r="G145" s="1405"/>
      <c r="H145" s="1405"/>
      <c r="I145" s="1404"/>
      <c r="J145" s="1404"/>
      <c r="K145" s="1404"/>
      <c r="L145" s="1404"/>
      <c r="M145" s="1404"/>
      <c r="N145" s="1404"/>
      <c r="O145" s="1404"/>
      <c r="P145" s="1404"/>
      <c r="Q145" s="1404"/>
      <c r="R145" s="1404"/>
      <c r="S145" s="1404"/>
      <c r="T145" s="1404"/>
      <c r="U145" s="1406"/>
      <c r="V145" s="1406"/>
      <c r="W145" s="1406"/>
      <c r="X145" s="1406"/>
      <c r="Y145" s="1406"/>
      <c r="Z145" s="64"/>
    </row>
    <row r="146" spans="1:26" s="63" customFormat="1" ht="21.75" hidden="1" customHeight="1">
      <c r="A146" s="60"/>
      <c r="B146" s="60"/>
      <c r="C146" s="61"/>
      <c r="D146" s="72"/>
      <c r="E146" s="72"/>
      <c r="F146" s="1405"/>
      <c r="G146" s="1405"/>
      <c r="H146" s="1405"/>
      <c r="I146" s="1404"/>
      <c r="J146" s="1404"/>
      <c r="K146" s="1404"/>
      <c r="L146" s="1404"/>
      <c r="M146" s="1404"/>
      <c r="N146" s="1404"/>
      <c r="O146" s="1404"/>
      <c r="P146" s="1404"/>
      <c r="Q146" s="1404"/>
      <c r="R146" s="1404"/>
      <c r="S146" s="1404"/>
      <c r="T146" s="1404"/>
      <c r="U146" s="1406"/>
      <c r="V146" s="1406"/>
      <c r="W146" s="1406"/>
      <c r="X146" s="1406"/>
      <c r="Y146" s="1406"/>
      <c r="Z146" s="64"/>
    </row>
    <row r="147" spans="1:26" s="63" customFormat="1" ht="21.75" hidden="1" customHeight="1">
      <c r="A147" s="60"/>
      <c r="B147" s="60"/>
      <c r="C147" s="61"/>
      <c r="D147" s="72"/>
      <c r="E147" s="72"/>
      <c r="F147" s="1405"/>
      <c r="G147" s="1405"/>
      <c r="H147" s="1405"/>
      <c r="I147" s="1404"/>
      <c r="J147" s="1404"/>
      <c r="K147" s="1404"/>
      <c r="L147" s="1404"/>
      <c r="M147" s="1404"/>
      <c r="N147" s="1404"/>
      <c r="O147" s="1404"/>
      <c r="P147" s="1404"/>
      <c r="Q147" s="1404"/>
      <c r="R147" s="1404"/>
      <c r="S147" s="1404"/>
      <c r="T147" s="1404"/>
      <c r="U147" s="1406"/>
      <c r="V147" s="1406"/>
      <c r="W147" s="1406"/>
      <c r="X147" s="1406"/>
      <c r="Y147" s="1406"/>
      <c r="Z147" s="64"/>
    </row>
    <row r="148" spans="1:26" s="63" customFormat="1" ht="21.75" hidden="1" customHeight="1">
      <c r="A148" s="60"/>
      <c r="B148" s="60"/>
      <c r="C148" s="61"/>
      <c r="D148" s="72"/>
      <c r="E148" s="72"/>
      <c r="F148" s="1405"/>
      <c r="G148" s="1405"/>
      <c r="H148" s="1405"/>
      <c r="I148" s="1404"/>
      <c r="J148" s="1404"/>
      <c r="K148" s="1404"/>
      <c r="L148" s="1404"/>
      <c r="M148" s="1404"/>
      <c r="N148" s="1404"/>
      <c r="O148" s="1404"/>
      <c r="P148" s="1404"/>
      <c r="Q148" s="1404"/>
      <c r="R148" s="1404"/>
      <c r="S148" s="1404"/>
      <c r="T148" s="1404"/>
      <c r="U148" s="1406"/>
      <c r="V148" s="1406"/>
      <c r="W148" s="1406"/>
      <c r="X148" s="1406"/>
      <c r="Y148" s="1406"/>
      <c r="Z148" s="64"/>
    </row>
    <row r="149" spans="1:26" s="63" customFormat="1" ht="21.75" hidden="1" customHeight="1">
      <c r="A149" s="60"/>
      <c r="B149" s="60"/>
      <c r="C149" s="61"/>
      <c r="D149" s="72"/>
      <c r="E149" s="72"/>
      <c r="F149" s="1405"/>
      <c r="G149" s="1405"/>
      <c r="H149" s="1405"/>
      <c r="I149" s="1404"/>
      <c r="J149" s="1404"/>
      <c r="K149" s="1404"/>
      <c r="L149" s="1404"/>
      <c r="M149" s="1404"/>
      <c r="N149" s="1404"/>
      <c r="O149" s="1404"/>
      <c r="P149" s="1404"/>
      <c r="Q149" s="1404"/>
      <c r="R149" s="1404"/>
      <c r="S149" s="1404"/>
      <c r="T149" s="1404"/>
      <c r="U149" s="1406"/>
      <c r="V149" s="1406"/>
      <c r="W149" s="1406"/>
      <c r="X149" s="1406"/>
      <c r="Y149" s="1406"/>
      <c r="Z149" s="64"/>
    </row>
    <row r="150" spans="1:26" s="63" customFormat="1" ht="21.75" hidden="1" customHeight="1">
      <c r="A150" s="60"/>
      <c r="B150" s="60"/>
      <c r="C150" s="61"/>
      <c r="D150" s="72"/>
      <c r="E150" s="72"/>
      <c r="F150" s="1405"/>
      <c r="G150" s="1405"/>
      <c r="H150" s="1405"/>
      <c r="I150" s="1404"/>
      <c r="J150" s="1404"/>
      <c r="K150" s="1404"/>
      <c r="L150" s="1404"/>
      <c r="M150" s="1404"/>
      <c r="N150" s="1404"/>
      <c r="O150" s="1404"/>
      <c r="P150" s="1404"/>
      <c r="Q150" s="1404"/>
      <c r="R150" s="1404"/>
      <c r="S150" s="1404"/>
      <c r="T150" s="1404"/>
      <c r="U150" s="1406"/>
      <c r="V150" s="1406"/>
      <c r="W150" s="1406"/>
      <c r="X150" s="1406"/>
      <c r="Y150" s="1406"/>
      <c r="Z150" s="64"/>
    </row>
    <row r="151" spans="1:26" s="63" customFormat="1" ht="21.75" hidden="1" customHeight="1">
      <c r="A151" s="60"/>
      <c r="B151" s="60"/>
      <c r="C151" s="61"/>
      <c r="D151" s="72"/>
      <c r="E151" s="72"/>
      <c r="F151" s="1405"/>
      <c r="G151" s="1405"/>
      <c r="H151" s="1405"/>
      <c r="I151" s="1404"/>
      <c r="J151" s="1404"/>
      <c r="K151" s="1404"/>
      <c r="L151" s="1404"/>
      <c r="M151" s="1404"/>
      <c r="N151" s="1404"/>
      <c r="O151" s="1404"/>
      <c r="P151" s="1404"/>
      <c r="Q151" s="1404"/>
      <c r="R151" s="1404"/>
      <c r="S151" s="1404"/>
      <c r="T151" s="1404"/>
      <c r="U151" s="1406"/>
      <c r="V151" s="1406"/>
      <c r="W151" s="1406"/>
      <c r="X151" s="1406"/>
      <c r="Y151" s="1406"/>
      <c r="Z151" s="64"/>
    </row>
    <row r="152" spans="1:26" s="63" customFormat="1" ht="21.75" hidden="1" customHeight="1">
      <c r="A152" s="60"/>
      <c r="B152" s="60"/>
      <c r="C152" s="61"/>
      <c r="D152" s="72"/>
      <c r="E152" s="72"/>
      <c r="F152" s="1405"/>
      <c r="G152" s="1405"/>
      <c r="H152" s="1405"/>
      <c r="I152" s="1404"/>
      <c r="J152" s="1404"/>
      <c r="K152" s="1404"/>
      <c r="L152" s="1404"/>
      <c r="M152" s="1404"/>
      <c r="N152" s="1404"/>
      <c r="O152" s="1404"/>
      <c r="P152" s="1404"/>
      <c r="Q152" s="1404"/>
      <c r="R152" s="1404"/>
      <c r="S152" s="1404"/>
      <c r="T152" s="1404"/>
      <c r="U152" s="1406"/>
      <c r="V152" s="1406"/>
      <c r="W152" s="1406"/>
      <c r="X152" s="1406"/>
      <c r="Y152" s="1406"/>
      <c r="Z152" s="64"/>
    </row>
    <row r="153" spans="1:26" s="63" customFormat="1" ht="21.75" hidden="1" customHeight="1">
      <c r="A153" s="60"/>
      <c r="B153" s="60"/>
      <c r="C153" s="61"/>
      <c r="D153" s="72"/>
      <c r="E153" s="72"/>
      <c r="F153" s="1405"/>
      <c r="G153" s="1405"/>
      <c r="H153" s="1405"/>
      <c r="I153" s="1404"/>
      <c r="J153" s="1404"/>
      <c r="K153" s="1404"/>
      <c r="L153" s="1404"/>
      <c r="M153" s="1404"/>
      <c r="N153" s="1404"/>
      <c r="O153" s="1404"/>
      <c r="P153" s="1404"/>
      <c r="Q153" s="1404"/>
      <c r="R153" s="1404"/>
      <c r="S153" s="1404"/>
      <c r="T153" s="1404"/>
      <c r="U153" s="1406"/>
      <c r="V153" s="1406"/>
      <c r="W153" s="1406"/>
      <c r="X153" s="1406"/>
      <c r="Y153" s="1406"/>
      <c r="Z153" s="64"/>
    </row>
    <row r="154" spans="1:26" s="67" customFormat="1" ht="21.75" hidden="1" customHeight="1">
      <c r="A154" s="60"/>
      <c r="B154" s="61"/>
      <c r="C154" s="65"/>
      <c r="D154" s="66"/>
      <c r="E154" s="68"/>
      <c r="F154" s="1409"/>
      <c r="G154" s="1409"/>
      <c r="H154" s="1409"/>
      <c r="I154" s="1409"/>
      <c r="J154" s="1409"/>
      <c r="K154" s="1409"/>
      <c r="L154" s="1409"/>
      <c r="M154" s="1409"/>
      <c r="N154" s="1409"/>
      <c r="O154" s="1409"/>
      <c r="P154" s="1409"/>
      <c r="Q154" s="1409"/>
      <c r="R154" s="1409"/>
      <c r="S154" s="1409"/>
      <c r="T154" s="1409"/>
      <c r="U154" s="1409"/>
      <c r="V154" s="1409"/>
      <c r="W154" s="1409"/>
      <c r="X154" s="1409"/>
      <c r="Y154" s="1409"/>
      <c r="Z154" s="61"/>
    </row>
    <row r="155" spans="1:26" s="67" customFormat="1" ht="21.75" hidden="1" customHeight="1">
      <c r="A155" s="60"/>
      <c r="B155" s="61"/>
      <c r="C155" s="125"/>
      <c r="D155" s="66"/>
      <c r="E155" s="68"/>
      <c r="F155" s="1408"/>
      <c r="G155" s="1408"/>
      <c r="H155" s="1408"/>
      <c r="I155" s="1406"/>
      <c r="J155" s="1406"/>
      <c r="K155" s="1406"/>
      <c r="L155" s="1406"/>
      <c r="M155" s="1406"/>
      <c r="N155" s="1407"/>
      <c r="O155" s="1407"/>
      <c r="P155" s="1407"/>
      <c r="Q155" s="1407"/>
      <c r="R155" s="1407"/>
      <c r="S155" s="1406"/>
      <c r="T155" s="1406"/>
      <c r="U155" s="1406"/>
      <c r="V155" s="1406"/>
      <c r="W155" s="1406"/>
      <c r="X155" s="1406"/>
      <c r="Y155" s="1406"/>
      <c r="Z155" s="61"/>
    </row>
    <row r="156" spans="1:26" s="67" customFormat="1" ht="21.75" hidden="1" customHeight="1">
      <c r="A156" s="60"/>
      <c r="B156" s="61"/>
      <c r="C156" s="69"/>
      <c r="D156" s="69"/>
      <c r="E156" s="70"/>
      <c r="F156" s="1408"/>
      <c r="G156" s="1408"/>
      <c r="H156" s="1408"/>
      <c r="I156" s="1406"/>
      <c r="J156" s="1406"/>
      <c r="K156" s="1406"/>
      <c r="L156" s="1406"/>
      <c r="M156" s="1406"/>
      <c r="N156" s="1407"/>
      <c r="O156" s="1407"/>
      <c r="P156" s="1407"/>
      <c r="Q156" s="1407"/>
      <c r="R156" s="1407"/>
      <c r="S156" s="1406"/>
      <c r="T156" s="1406"/>
      <c r="U156" s="1406"/>
      <c r="V156" s="1406"/>
      <c r="W156" s="1406"/>
      <c r="X156" s="1406"/>
      <c r="Y156" s="1406"/>
      <c r="Z156" s="60"/>
    </row>
    <row r="157" spans="1:26" s="67" customFormat="1" ht="21.75" hidden="1" customHeight="1">
      <c r="A157" s="60"/>
      <c r="B157" s="61"/>
      <c r="C157" s="61"/>
      <c r="D157" s="61"/>
      <c r="E157" s="61"/>
      <c r="F157" s="1408"/>
      <c r="G157" s="1408"/>
      <c r="H157" s="1408"/>
      <c r="I157" s="1406"/>
      <c r="J157" s="1406"/>
      <c r="K157" s="1406"/>
      <c r="L157" s="1406"/>
      <c r="M157" s="1406"/>
      <c r="N157" s="1407"/>
      <c r="O157" s="1407"/>
      <c r="P157" s="1407"/>
      <c r="Q157" s="1407"/>
      <c r="R157" s="1407"/>
      <c r="S157" s="1406"/>
      <c r="T157" s="1406"/>
      <c r="U157" s="1406"/>
      <c r="V157" s="1406"/>
      <c r="W157" s="1406"/>
      <c r="X157" s="1406"/>
      <c r="Y157" s="1406"/>
      <c r="Z157" s="60"/>
    </row>
    <row r="158" spans="1:26" s="67" customFormat="1" ht="21.75" hidden="1" customHeight="1">
      <c r="A158" s="60"/>
      <c r="B158" s="60"/>
      <c r="C158" s="61"/>
      <c r="D158" s="61"/>
      <c r="E158" s="61"/>
      <c r="F158" s="1408"/>
      <c r="G158" s="1408"/>
      <c r="H158" s="1408"/>
      <c r="I158" s="1406"/>
      <c r="J158" s="1406"/>
      <c r="K158" s="1406"/>
      <c r="L158" s="1406"/>
      <c r="M158" s="1406"/>
      <c r="N158" s="1407"/>
      <c r="O158" s="1407"/>
      <c r="P158" s="1407"/>
      <c r="Q158" s="1407"/>
      <c r="R158" s="1407"/>
      <c r="S158" s="1406"/>
      <c r="T158" s="1406"/>
      <c r="U158" s="1406"/>
      <c r="V158" s="1406"/>
      <c r="W158" s="1406"/>
      <c r="X158" s="1406"/>
      <c r="Y158" s="1406"/>
      <c r="Z158" s="60"/>
    </row>
    <row r="159" spans="1:26" s="67" customFormat="1" ht="21.75" hidden="1" customHeight="1">
      <c r="A159" s="60"/>
      <c r="B159" s="60"/>
      <c r="C159" s="61"/>
      <c r="D159" s="61"/>
      <c r="E159" s="61"/>
      <c r="F159" s="1408"/>
      <c r="G159" s="1408"/>
      <c r="H159" s="1408"/>
      <c r="I159" s="1406"/>
      <c r="J159" s="1406"/>
      <c r="K159" s="1406"/>
      <c r="L159" s="1406"/>
      <c r="M159" s="1406"/>
      <c r="N159" s="1407"/>
      <c r="O159" s="1407"/>
      <c r="P159" s="1407"/>
      <c r="Q159" s="1407"/>
      <c r="R159" s="1407"/>
      <c r="S159" s="1406"/>
      <c r="T159" s="1406"/>
      <c r="U159" s="1406"/>
      <c r="V159" s="1406"/>
      <c r="W159" s="1406"/>
      <c r="X159" s="1406"/>
      <c r="Y159" s="1406"/>
      <c r="Z159" s="60"/>
    </row>
    <row r="160" spans="1:26" s="63" customFormat="1" ht="21.75" hidden="1" customHeight="1">
      <c r="A160" s="61"/>
      <c r="B160" s="61"/>
      <c r="C160" s="61"/>
      <c r="D160" s="71"/>
      <c r="E160" s="61"/>
      <c r="F160" s="1408"/>
      <c r="G160" s="1408"/>
      <c r="H160" s="1408"/>
      <c r="I160" s="1406"/>
      <c r="J160" s="1406"/>
      <c r="K160" s="1406"/>
      <c r="L160" s="1406"/>
      <c r="M160" s="1406"/>
      <c r="N160" s="1407"/>
      <c r="O160" s="1407"/>
      <c r="P160" s="1407"/>
      <c r="Q160" s="1407"/>
      <c r="R160" s="1407"/>
      <c r="S160" s="1406"/>
      <c r="T160" s="1406"/>
      <c r="U160" s="1406"/>
      <c r="V160" s="1406"/>
      <c r="W160" s="1406"/>
      <c r="X160" s="1406"/>
      <c r="Y160" s="1406"/>
      <c r="Z160" s="61"/>
    </row>
    <row r="161" spans="1:26" s="63" customFormat="1" ht="21.75" hidden="1" customHeight="1">
      <c r="A161" s="61"/>
      <c r="B161" s="61"/>
      <c r="C161" s="61"/>
      <c r="D161" s="71"/>
      <c r="E161" s="61"/>
      <c r="F161" s="1408"/>
      <c r="G161" s="1408"/>
      <c r="H161" s="1408"/>
      <c r="I161" s="1406"/>
      <c r="J161" s="1406"/>
      <c r="K161" s="1406"/>
      <c r="L161" s="1406"/>
      <c r="M161" s="1406"/>
      <c r="N161" s="1407"/>
      <c r="O161" s="1407"/>
      <c r="P161" s="1407"/>
      <c r="Q161" s="1407"/>
      <c r="R161" s="1407"/>
      <c r="S161" s="1406"/>
      <c r="T161" s="1406"/>
      <c r="U161" s="1406"/>
      <c r="V161" s="1406"/>
      <c r="W161" s="1406"/>
      <c r="X161" s="1406"/>
      <c r="Y161" s="1406"/>
      <c r="Z161" s="61"/>
    </row>
    <row r="162" spans="1:26" s="63" customFormat="1" ht="21.75" hidden="1" customHeight="1">
      <c r="A162" s="61"/>
      <c r="B162" s="61"/>
      <c r="C162" s="61"/>
      <c r="D162" s="61"/>
      <c r="E162" s="61"/>
      <c r="F162" s="1408"/>
      <c r="G162" s="1408"/>
      <c r="H162" s="1408"/>
      <c r="I162" s="1406"/>
      <c r="J162" s="1406"/>
      <c r="K162" s="1406"/>
      <c r="L162" s="1406"/>
      <c r="M162" s="1406"/>
      <c r="N162" s="1407"/>
      <c r="O162" s="1407"/>
      <c r="P162" s="1407"/>
      <c r="Q162" s="1407"/>
      <c r="R162" s="1407"/>
      <c r="S162" s="1406"/>
      <c r="T162" s="1406"/>
      <c r="U162" s="1406"/>
      <c r="V162" s="1406"/>
      <c r="W162" s="1406"/>
      <c r="X162" s="1406"/>
      <c r="Y162" s="1406"/>
      <c r="Z162" s="61"/>
    </row>
    <row r="163" spans="1:26" s="63" customFormat="1" ht="21.75" hidden="1" customHeight="1">
      <c r="A163" s="61"/>
      <c r="B163" s="61"/>
      <c r="C163" s="61"/>
      <c r="D163" s="61"/>
      <c r="E163" s="61"/>
      <c r="F163" s="1408"/>
      <c r="G163" s="1408"/>
      <c r="H163" s="1408"/>
      <c r="I163" s="1406"/>
      <c r="J163" s="1406"/>
      <c r="K163" s="1406"/>
      <c r="L163" s="1406"/>
      <c r="M163" s="1406"/>
      <c r="N163" s="1407"/>
      <c r="O163" s="1407"/>
      <c r="P163" s="1407"/>
      <c r="Q163" s="1407"/>
      <c r="R163" s="1407"/>
      <c r="S163" s="1406"/>
      <c r="T163" s="1406"/>
      <c r="U163" s="1406"/>
      <c r="V163" s="1406"/>
      <c r="W163" s="1406"/>
      <c r="X163" s="1406"/>
      <c r="Y163" s="1406"/>
      <c r="Z163" s="61"/>
    </row>
    <row r="164" spans="1:26" s="63" customFormat="1" ht="21.75" hidden="1" customHeight="1">
      <c r="A164" s="61"/>
      <c r="B164" s="61"/>
      <c r="C164" s="61"/>
      <c r="D164" s="61"/>
      <c r="E164" s="61"/>
      <c r="F164" s="1408"/>
      <c r="G164" s="1408"/>
      <c r="H164" s="1408"/>
      <c r="I164" s="1406"/>
      <c r="J164" s="1406"/>
      <c r="K164" s="1406"/>
      <c r="L164" s="1406"/>
      <c r="M164" s="1406"/>
      <c r="N164" s="1407"/>
      <c r="O164" s="1407"/>
      <c r="P164" s="1407"/>
      <c r="Q164" s="1407"/>
      <c r="R164" s="1407"/>
      <c r="S164" s="1406"/>
      <c r="T164" s="1406"/>
      <c r="U164" s="1406"/>
      <c r="V164" s="1406"/>
      <c r="W164" s="1406"/>
      <c r="X164" s="1406"/>
      <c r="Y164" s="1406"/>
      <c r="Z164" s="61"/>
    </row>
    <row r="165" spans="1:26" s="51" customFormat="1" ht="21.75" hidden="1" customHeight="1">
      <c r="A165" s="34"/>
      <c r="B165" s="34"/>
      <c r="C165" s="34"/>
      <c r="D165" s="34"/>
      <c r="E165" s="34"/>
      <c r="F165" s="1408"/>
      <c r="G165" s="1408"/>
      <c r="H165" s="1408"/>
      <c r="I165" s="1406"/>
      <c r="J165" s="1406"/>
      <c r="K165" s="1406"/>
      <c r="L165" s="1406"/>
      <c r="M165" s="1406"/>
      <c r="N165" s="1407"/>
      <c r="O165" s="1407"/>
      <c r="P165" s="1407"/>
      <c r="Q165" s="1407"/>
      <c r="R165" s="1407"/>
      <c r="S165" s="1406"/>
      <c r="T165" s="1406"/>
      <c r="U165" s="1406"/>
      <c r="V165" s="1406"/>
      <c r="W165" s="1406"/>
      <c r="X165" s="1406"/>
      <c r="Y165" s="1406"/>
      <c r="Z165" s="34"/>
    </row>
    <row r="166" spans="1:26" s="51" customFormat="1" ht="21.75" hidden="1" customHeight="1">
      <c r="A166" s="606"/>
      <c r="B166" s="606"/>
      <c r="C166" s="606"/>
      <c r="D166" s="606"/>
      <c r="E166" s="606"/>
      <c r="F166" s="1408"/>
      <c r="G166" s="1408"/>
      <c r="H166" s="1408"/>
      <c r="I166" s="1406"/>
      <c r="J166" s="1406"/>
      <c r="K166" s="1406"/>
      <c r="L166" s="1406"/>
      <c r="M166" s="1406"/>
      <c r="N166" s="1407"/>
      <c r="O166" s="1407"/>
      <c r="P166" s="1407"/>
      <c r="Q166" s="1407"/>
      <c r="R166" s="1407"/>
      <c r="S166" s="1406"/>
      <c r="T166" s="1406"/>
      <c r="U166" s="1406"/>
      <c r="V166" s="1406"/>
      <c r="W166" s="1406"/>
      <c r="X166" s="1406"/>
      <c r="Y166" s="1406"/>
    </row>
    <row r="167" spans="1:26" s="51" customFormat="1" ht="21.75" hidden="1" customHeight="1">
      <c r="A167" s="606"/>
      <c r="B167" s="606"/>
      <c r="C167" s="606"/>
      <c r="D167" s="606"/>
      <c r="E167" s="606"/>
      <c r="F167" s="1408"/>
      <c r="G167" s="1408"/>
      <c r="H167" s="1408"/>
      <c r="I167" s="1406"/>
      <c r="J167" s="1406"/>
      <c r="K167" s="1406"/>
      <c r="L167" s="1406"/>
      <c r="M167" s="1406"/>
      <c r="N167" s="1407"/>
      <c r="O167" s="1407"/>
      <c r="P167" s="1407"/>
      <c r="Q167" s="1407"/>
      <c r="R167" s="1407"/>
      <c r="S167" s="1406"/>
      <c r="T167" s="1406"/>
      <c r="U167" s="1406"/>
      <c r="V167" s="1406"/>
      <c r="W167" s="1406"/>
      <c r="X167" s="1406"/>
      <c r="Y167" s="1406"/>
    </row>
    <row r="168" spans="1:26" s="51" customFormat="1" ht="21.75" hidden="1" customHeight="1">
      <c r="A168" s="34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</row>
    <row r="169" spans="1:26" s="51" customFormat="1" ht="21.75" hidden="1" customHeight="1"/>
    <row r="170" spans="1:26" s="51" customFormat="1" ht="21.75" hidden="1" customHeight="1"/>
    <row r="171" spans="1:26" s="51" customFormat="1" ht="21.75" hidden="1" customHeight="1"/>
    <row r="172" spans="1:26" ht="21.75" hidden="1" customHeight="1"/>
    <row r="173" spans="1:26" ht="21.75" hidden="1" customHeight="1"/>
    <row r="174" spans="1:26" ht="21.75" hidden="1" customHeight="1"/>
    <row r="175" spans="1:26" ht="21.75" hidden="1" customHeight="1"/>
    <row r="176" spans="1:26" ht="21.75" hidden="1" customHeight="1"/>
    <row r="177" ht="21.75" hidden="1" customHeight="1"/>
    <row r="178" ht="21.75" hidden="1" customHeight="1"/>
    <row r="179" ht="21.75" hidden="1" customHeight="1"/>
    <row r="180" ht="21.75" hidden="1" customHeight="1"/>
    <row r="181" ht="21.75" hidden="1" customHeight="1"/>
    <row r="182" ht="21.75" hidden="1" customHeight="1"/>
  </sheetData>
  <sheetProtection formatCells="0" formatColumns="0" formatRows="0" autoFilter="0"/>
  <dataConsolidate/>
  <mergeCells count="458">
    <mergeCell ref="T132:X132"/>
    <mergeCell ref="M144:P144"/>
    <mergeCell ref="M140:P140"/>
    <mergeCell ref="S133:X133"/>
    <mergeCell ref="U143:Y143"/>
    <mergeCell ref="U151:Y151"/>
    <mergeCell ref="U150:Y150"/>
    <mergeCell ref="Q151:T151"/>
    <mergeCell ref="U140:Y140"/>
    <mergeCell ref="U142:Y142"/>
    <mergeCell ref="Q148:T148"/>
    <mergeCell ref="Q145:T145"/>
    <mergeCell ref="U145:Y145"/>
    <mergeCell ref="U147:Y147"/>
    <mergeCell ref="U146:Y146"/>
    <mergeCell ref="Q140:T140"/>
    <mergeCell ref="U148:Y148"/>
    <mergeCell ref="M145:P145"/>
    <mergeCell ref="U149:Y149"/>
    <mergeCell ref="U141:Y141"/>
    <mergeCell ref="Q147:T147"/>
    <mergeCell ref="Q146:T146"/>
    <mergeCell ref="Q144:T144"/>
    <mergeCell ref="Q143:T143"/>
    <mergeCell ref="AA93:AD93"/>
    <mergeCell ref="U94:W94"/>
    <mergeCell ref="U116:W116"/>
    <mergeCell ref="U102:W102"/>
    <mergeCell ref="U93:W93"/>
    <mergeCell ref="U95:W95"/>
    <mergeCell ref="U122:W122"/>
    <mergeCell ref="U124:W124"/>
    <mergeCell ref="R125:T125"/>
    <mergeCell ref="U121:W121"/>
    <mergeCell ref="D122:S122"/>
    <mergeCell ref="R123:T123"/>
    <mergeCell ref="U125:W125"/>
    <mergeCell ref="U123:W123"/>
    <mergeCell ref="U99:W99"/>
    <mergeCell ref="U111:W111"/>
    <mergeCell ref="U101:W101"/>
    <mergeCell ref="U106:W106"/>
    <mergeCell ref="U112:W112"/>
    <mergeCell ref="Q152:T152"/>
    <mergeCell ref="F151:H151"/>
    <mergeCell ref="D127:S127"/>
    <mergeCell ref="E132:J132"/>
    <mergeCell ref="F140:H140"/>
    <mergeCell ref="U128:W128"/>
    <mergeCell ref="M142:P142"/>
    <mergeCell ref="U144:Y144"/>
    <mergeCell ref="E133:J133"/>
    <mergeCell ref="I140:L140"/>
    <mergeCell ref="F143:H143"/>
    <mergeCell ref="F144:H144"/>
    <mergeCell ref="I144:L144"/>
    <mergeCell ref="F142:H142"/>
    <mergeCell ref="I141:L141"/>
    <mergeCell ref="I142:L142"/>
    <mergeCell ref="U130:W130"/>
    <mergeCell ref="T134:X134"/>
    <mergeCell ref="U127:W127"/>
    <mergeCell ref="Q142:T142"/>
    <mergeCell ref="U152:Y152"/>
    <mergeCell ref="Q149:T149"/>
    <mergeCell ref="Q150:T150"/>
    <mergeCell ref="N132:R132"/>
    <mergeCell ref="Q141:T141"/>
    <mergeCell ref="F141:H141"/>
    <mergeCell ref="M141:P141"/>
    <mergeCell ref="M149:P149"/>
    <mergeCell ref="F145:H145"/>
    <mergeCell ref="I147:L147"/>
    <mergeCell ref="I146:L146"/>
    <mergeCell ref="I148:L148"/>
    <mergeCell ref="M148:P148"/>
    <mergeCell ref="M147:P147"/>
    <mergeCell ref="F146:H146"/>
    <mergeCell ref="F148:H148"/>
    <mergeCell ref="F147:H147"/>
    <mergeCell ref="F149:H149"/>
    <mergeCell ref="I143:L143"/>
    <mergeCell ref="M143:P143"/>
    <mergeCell ref="I157:M157"/>
    <mergeCell ref="F155:H155"/>
    <mergeCell ref="I153:L153"/>
    <mergeCell ref="N159:R159"/>
    <mergeCell ref="F157:H157"/>
    <mergeCell ref="F159:H159"/>
    <mergeCell ref="I158:M158"/>
    <mergeCell ref="F153:H153"/>
    <mergeCell ref="Q153:T153"/>
    <mergeCell ref="I156:M156"/>
    <mergeCell ref="N157:R157"/>
    <mergeCell ref="S158:Y158"/>
    <mergeCell ref="S157:Y157"/>
    <mergeCell ref="N155:R155"/>
    <mergeCell ref="N154:R154"/>
    <mergeCell ref="N156:R156"/>
    <mergeCell ref="F156:H156"/>
    <mergeCell ref="I155:M155"/>
    <mergeCell ref="F154:H154"/>
    <mergeCell ref="I154:M154"/>
    <mergeCell ref="S156:Y156"/>
    <mergeCell ref="S154:Y154"/>
    <mergeCell ref="S155:Y155"/>
    <mergeCell ref="U153:Y153"/>
    <mergeCell ref="F167:H167"/>
    <mergeCell ref="F166:H166"/>
    <mergeCell ref="F165:H165"/>
    <mergeCell ref="F163:H163"/>
    <mergeCell ref="F164:H164"/>
    <mergeCell ref="F162:H162"/>
    <mergeCell ref="I162:M162"/>
    <mergeCell ref="F161:H161"/>
    <mergeCell ref="N158:R158"/>
    <mergeCell ref="F160:H160"/>
    <mergeCell ref="I160:M160"/>
    <mergeCell ref="F158:H158"/>
    <mergeCell ref="S165:Y165"/>
    <mergeCell ref="N166:R166"/>
    <mergeCell ref="I167:M167"/>
    <mergeCell ref="N167:R167"/>
    <mergeCell ref="S167:Y167"/>
    <mergeCell ref="I165:M165"/>
    <mergeCell ref="I166:M166"/>
    <mergeCell ref="N165:R165"/>
    <mergeCell ref="S166:Y166"/>
    <mergeCell ref="S164:Y164"/>
    <mergeCell ref="I164:M164"/>
    <mergeCell ref="N164:R164"/>
    <mergeCell ref="I163:M163"/>
    <mergeCell ref="S163:Y163"/>
    <mergeCell ref="N163:R163"/>
    <mergeCell ref="S162:Y162"/>
    <mergeCell ref="I159:M159"/>
    <mergeCell ref="N162:R162"/>
    <mergeCell ref="I161:M161"/>
    <mergeCell ref="N160:R160"/>
    <mergeCell ref="S161:Y161"/>
    <mergeCell ref="S159:Y159"/>
    <mergeCell ref="S160:Y160"/>
    <mergeCell ref="N161:R161"/>
    <mergeCell ref="M151:P151"/>
    <mergeCell ref="I149:L149"/>
    <mergeCell ref="M152:P152"/>
    <mergeCell ref="M153:P153"/>
    <mergeCell ref="I145:L145"/>
    <mergeCell ref="M146:P146"/>
    <mergeCell ref="F152:H152"/>
    <mergeCell ref="F150:H150"/>
    <mergeCell ref="I151:L151"/>
    <mergeCell ref="I152:L152"/>
    <mergeCell ref="M150:P150"/>
    <mergeCell ref="I150:L150"/>
    <mergeCell ref="P72:S72"/>
    <mergeCell ref="E76:X78"/>
    <mergeCell ref="D92:F92"/>
    <mergeCell ref="P74:S74"/>
    <mergeCell ref="U92:W92"/>
    <mergeCell ref="D126:S126"/>
    <mergeCell ref="U126:W126"/>
    <mergeCell ref="D119:S119"/>
    <mergeCell ref="U120:W120"/>
    <mergeCell ref="D73:I73"/>
    <mergeCell ref="T73:X73"/>
    <mergeCell ref="M73:O73"/>
    <mergeCell ref="J73:L73"/>
    <mergeCell ref="D95:E95"/>
    <mergeCell ref="P73:S73"/>
    <mergeCell ref="M74:O74"/>
    <mergeCell ref="D116:S116"/>
    <mergeCell ref="D89:F89"/>
    <mergeCell ref="D93:F93"/>
    <mergeCell ref="U91:W91"/>
    <mergeCell ref="U89:W90"/>
    <mergeCell ref="U117:W117"/>
    <mergeCell ref="D74:I74"/>
    <mergeCell ref="U87:W88"/>
    <mergeCell ref="T72:X72"/>
    <mergeCell ref="U97:W97"/>
    <mergeCell ref="C123:C125"/>
    <mergeCell ref="U98:W98"/>
    <mergeCell ref="U100:W100"/>
    <mergeCell ref="D123:O125"/>
    <mergeCell ref="U107:W107"/>
    <mergeCell ref="D118:S118"/>
    <mergeCell ref="U118:W118"/>
    <mergeCell ref="U119:W119"/>
    <mergeCell ref="R124:T124"/>
    <mergeCell ref="D120:S120"/>
    <mergeCell ref="M72:O72"/>
    <mergeCell ref="U96:W96"/>
    <mergeCell ref="D96:F96"/>
    <mergeCell ref="T74:X74"/>
    <mergeCell ref="D91:F91"/>
    <mergeCell ref="U82:X82"/>
    <mergeCell ref="J72:L72"/>
    <mergeCell ref="C75:X75"/>
    <mergeCell ref="J74:L74"/>
    <mergeCell ref="S83:T83"/>
    <mergeCell ref="S82:T82"/>
    <mergeCell ref="D72:I72"/>
    <mergeCell ref="E66:S66"/>
    <mergeCell ref="D69:I69"/>
    <mergeCell ref="P69:S69"/>
    <mergeCell ref="C68:X68"/>
    <mergeCell ref="J69:L69"/>
    <mergeCell ref="M69:O69"/>
    <mergeCell ref="D71:I71"/>
    <mergeCell ref="J71:L71"/>
    <mergeCell ref="M71:O71"/>
    <mergeCell ref="P70:S70"/>
    <mergeCell ref="P71:S71"/>
    <mergeCell ref="J70:L70"/>
    <mergeCell ref="D70:I70"/>
    <mergeCell ref="M70:O70"/>
    <mergeCell ref="T71:X71"/>
    <mergeCell ref="U66:W66"/>
    <mergeCell ref="T70:X70"/>
    <mergeCell ref="T69:X69"/>
    <mergeCell ref="U42:W42"/>
    <mergeCell ref="D61:D64"/>
    <mergeCell ref="E61:S62"/>
    <mergeCell ref="U64:W64"/>
    <mergeCell ref="Q63:S63"/>
    <mergeCell ref="M64:P64"/>
    <mergeCell ref="Q64:S64"/>
    <mergeCell ref="E64:L64"/>
    <mergeCell ref="X53:Y53"/>
    <mergeCell ref="K55:T55"/>
    <mergeCell ref="E63:L63"/>
    <mergeCell ref="U60:W60"/>
    <mergeCell ref="U61:W61"/>
    <mergeCell ref="M63:P63"/>
    <mergeCell ref="U55:W55"/>
    <mergeCell ref="D55:J55"/>
    <mergeCell ref="E60:S60"/>
    <mergeCell ref="U47:W47"/>
    <mergeCell ref="U50:W50"/>
    <mergeCell ref="U56:W56"/>
    <mergeCell ref="E65:S65"/>
    <mergeCell ref="U65:W65"/>
    <mergeCell ref="H47:Q47"/>
    <mergeCell ref="O43:P43"/>
    <mergeCell ref="S43:T43"/>
    <mergeCell ref="U52:W52"/>
    <mergeCell ref="U51:W51"/>
    <mergeCell ref="U43:W43"/>
    <mergeCell ref="U54:W54"/>
    <mergeCell ref="U46:W46"/>
    <mergeCell ref="R53:S53"/>
    <mergeCell ref="U49:W49"/>
    <mergeCell ref="U48:W48"/>
    <mergeCell ref="U53:W53"/>
    <mergeCell ref="C32:D32"/>
    <mergeCell ref="G32:H32"/>
    <mergeCell ref="K32:L32"/>
    <mergeCell ref="E32:F32"/>
    <mergeCell ref="I32:J32"/>
    <mergeCell ref="S41:T41"/>
    <mergeCell ref="O41:P41"/>
    <mergeCell ref="O36:P36"/>
    <mergeCell ref="U35:W35"/>
    <mergeCell ref="U37:W37"/>
    <mergeCell ref="O37:P37"/>
    <mergeCell ref="S37:T37"/>
    <mergeCell ref="S38:T38"/>
    <mergeCell ref="O38:P38"/>
    <mergeCell ref="S39:T39"/>
    <mergeCell ref="O40:P40"/>
    <mergeCell ref="S40:T40"/>
    <mergeCell ref="O39:P39"/>
    <mergeCell ref="U38:W38"/>
    <mergeCell ref="U39:W39"/>
    <mergeCell ref="U40:W40"/>
    <mergeCell ref="U41:W41"/>
    <mergeCell ref="W32:X32"/>
    <mergeCell ref="S36:T36"/>
    <mergeCell ref="W29:X29"/>
    <mergeCell ref="U31:V31"/>
    <mergeCell ref="W31:X31"/>
    <mergeCell ref="U36:W36"/>
    <mergeCell ref="W30:X30"/>
    <mergeCell ref="U30:V30"/>
    <mergeCell ref="M30:N30"/>
    <mergeCell ref="M31:N31"/>
    <mergeCell ref="K30:L30"/>
    <mergeCell ref="O31:P31"/>
    <mergeCell ref="U32:V32"/>
    <mergeCell ref="Q31:R31"/>
    <mergeCell ref="S35:T35"/>
    <mergeCell ref="Q30:R30"/>
    <mergeCell ref="M29:N29"/>
    <mergeCell ref="O30:P30"/>
    <mergeCell ref="O35:P35"/>
    <mergeCell ref="O32:P32"/>
    <mergeCell ref="Q32:R32"/>
    <mergeCell ref="M32:N32"/>
    <mergeCell ref="I30:J30"/>
    <mergeCell ref="U28:V28"/>
    <mergeCell ref="U26:V26"/>
    <mergeCell ref="M27:N27"/>
    <mergeCell ref="Q29:R29"/>
    <mergeCell ref="M26:N26"/>
    <mergeCell ref="U27:V27"/>
    <mergeCell ref="O29:P29"/>
    <mergeCell ref="U29:V29"/>
    <mergeCell ref="Q28:R28"/>
    <mergeCell ref="O27:P27"/>
    <mergeCell ref="M28:N28"/>
    <mergeCell ref="O28:P28"/>
    <mergeCell ref="C23:D23"/>
    <mergeCell ref="E23:F23"/>
    <mergeCell ref="E24:F24"/>
    <mergeCell ref="C25:D25"/>
    <mergeCell ref="C24:D24"/>
    <mergeCell ref="C28:D28"/>
    <mergeCell ref="E28:F28"/>
    <mergeCell ref="C26:D26"/>
    <mergeCell ref="K31:L31"/>
    <mergeCell ref="I31:J31"/>
    <mergeCell ref="C27:D27"/>
    <mergeCell ref="E27:F27"/>
    <mergeCell ref="G27:H27"/>
    <mergeCell ref="I28:J28"/>
    <mergeCell ref="G29:H29"/>
    <mergeCell ref="E29:F29"/>
    <mergeCell ref="E26:F26"/>
    <mergeCell ref="I27:J27"/>
    <mergeCell ref="G28:H28"/>
    <mergeCell ref="C31:D31"/>
    <mergeCell ref="G31:H31"/>
    <mergeCell ref="E31:F31"/>
    <mergeCell ref="E30:F30"/>
    <mergeCell ref="G30:H30"/>
    <mergeCell ref="C30:D30"/>
    <mergeCell ref="C29:D29"/>
    <mergeCell ref="K29:L29"/>
    <mergeCell ref="I29:J29"/>
    <mergeCell ref="W16:X16"/>
    <mergeCell ref="U16:V16"/>
    <mergeCell ref="W26:X26"/>
    <mergeCell ref="K23:L23"/>
    <mergeCell ref="U24:V24"/>
    <mergeCell ref="U23:V23"/>
    <mergeCell ref="O26:P26"/>
    <mergeCell ref="W25:X25"/>
    <mergeCell ref="K25:L25"/>
    <mergeCell ref="Q24:R24"/>
    <mergeCell ref="O24:P24"/>
    <mergeCell ref="K24:L24"/>
    <mergeCell ref="K26:L26"/>
    <mergeCell ref="E22:F22"/>
    <mergeCell ref="W28:X28"/>
    <mergeCell ref="O23:P23"/>
    <mergeCell ref="W24:X24"/>
    <mergeCell ref="U25:V25"/>
    <mergeCell ref="Q26:R26"/>
    <mergeCell ref="W23:X23"/>
    <mergeCell ref="W27:X27"/>
    <mergeCell ref="Q23:R23"/>
    <mergeCell ref="O25:P25"/>
    <mergeCell ref="I26:J26"/>
    <mergeCell ref="G25:H25"/>
    <mergeCell ref="E25:F25"/>
    <mergeCell ref="I25:J25"/>
    <mergeCell ref="K28:L28"/>
    <mergeCell ref="G26:H26"/>
    <mergeCell ref="C15:D15"/>
    <mergeCell ref="C14:D14"/>
    <mergeCell ref="E14:F14"/>
    <mergeCell ref="E19:F19"/>
    <mergeCell ref="E18:F18"/>
    <mergeCell ref="C16:D16"/>
    <mergeCell ref="E17:F17"/>
    <mergeCell ref="E16:F16"/>
    <mergeCell ref="I13:J13"/>
    <mergeCell ref="Q15:R15"/>
    <mergeCell ref="O16:P16"/>
    <mergeCell ref="I16:J16"/>
    <mergeCell ref="O14:P14"/>
    <mergeCell ref="Q14:R14"/>
    <mergeCell ref="O13:P13"/>
    <mergeCell ref="G16:H16"/>
    <mergeCell ref="Q27:R27"/>
    <mergeCell ref="Q16:R16"/>
    <mergeCell ref="Q25:R25"/>
    <mergeCell ref="G24:H24"/>
    <mergeCell ref="I24:J24"/>
    <mergeCell ref="K27:L27"/>
    <mergeCell ref="G23:H23"/>
    <mergeCell ref="I23:J23"/>
    <mergeCell ref="G14:H14"/>
    <mergeCell ref="I14:J14"/>
    <mergeCell ref="Q13:R13"/>
    <mergeCell ref="M14:N14"/>
    <mergeCell ref="K14:L14"/>
    <mergeCell ref="E21:F21"/>
    <mergeCell ref="G15:H15"/>
    <mergeCell ref="E20:F20"/>
    <mergeCell ref="O15:P15"/>
    <mergeCell ref="K15:L15"/>
    <mergeCell ref="M15:N15"/>
    <mergeCell ref="E15:F15"/>
    <mergeCell ref="M16:N16"/>
    <mergeCell ref="K16:L16"/>
    <mergeCell ref="I15:J15"/>
    <mergeCell ref="M11:N11"/>
    <mergeCell ref="Q11:R11"/>
    <mergeCell ref="C12:D12"/>
    <mergeCell ref="E12:F12"/>
    <mergeCell ref="U12:V12"/>
    <mergeCell ref="K11:L11"/>
    <mergeCell ref="C13:D13"/>
    <mergeCell ref="G12:H12"/>
    <mergeCell ref="G13:H13"/>
    <mergeCell ref="E11:F11"/>
    <mergeCell ref="E13:F13"/>
    <mergeCell ref="G11:H11"/>
    <mergeCell ref="K13:L13"/>
    <mergeCell ref="M12:N12"/>
    <mergeCell ref="M13:N13"/>
    <mergeCell ref="M10:N10"/>
    <mergeCell ref="I11:J11"/>
    <mergeCell ref="I12:J12"/>
    <mergeCell ref="C11:D11"/>
    <mergeCell ref="Q12:R12"/>
    <mergeCell ref="J1:Q1"/>
    <mergeCell ref="G6:X6"/>
    <mergeCell ref="A1:I1"/>
    <mergeCell ref="R1:Z1"/>
    <mergeCell ref="C6:F6"/>
    <mergeCell ref="U4:V4"/>
    <mergeCell ref="W4:X4"/>
    <mergeCell ref="G7:X7"/>
    <mergeCell ref="C7:F7"/>
    <mergeCell ref="Q10:R10"/>
    <mergeCell ref="C9:D10"/>
    <mergeCell ref="E10:F10"/>
    <mergeCell ref="G10:H10"/>
    <mergeCell ref="K10:L10"/>
    <mergeCell ref="I10:J10"/>
    <mergeCell ref="O10:P10"/>
    <mergeCell ref="O11:P11"/>
    <mergeCell ref="O12:P12"/>
    <mergeCell ref="K12:L12"/>
    <mergeCell ref="W15:X15"/>
    <mergeCell ref="U13:V13"/>
    <mergeCell ref="W11:X11"/>
    <mergeCell ref="U10:V10"/>
    <mergeCell ref="U14:V14"/>
    <mergeCell ref="U15:V15"/>
    <mergeCell ref="W13:X13"/>
    <mergeCell ref="W12:X12"/>
    <mergeCell ref="W14:X14"/>
    <mergeCell ref="U11:V11"/>
    <mergeCell ref="W10:X10"/>
  </mergeCells>
  <phoneticPr fontId="20" type="noConversion"/>
  <dataValidations xWindow="187" yWindow="400" count="17">
    <dataValidation allowBlank="1" showInputMessage="1" showErrorMessage="1" promptTitle="U/s 80 CCG" prompt="&#10;&#10;જે રોકાણ કરે તેના ૫૦ ટકા બાદ મળવાપાત્ર છે. (વધુમાં વધુ ૨૫,૦૦૦ બાદ મળી શકે ) એટલે રૂ ૫૦,૦૦૦ કરતાં વધુ રોકાણ કરે તો પણ ઇન્કમટેક્ષમાં રાહત રૂ ૨૫૦૦૦ મળે&#10;&#10;આધાર માટે રોકાણની ઝેરોક્ષ બીડવી ફરજીયાત છે." sqref="U128:W128"/>
    <dataValidation type="list" allowBlank="1" showInputMessage="1" showErrorMessage="1" sqref="P79">
      <formula1>$C$77:$C$78</formula1>
    </dataValidation>
    <dataValidation type="date" operator="lessThan" showInputMessage="1" showErrorMessage="1" errorTitle="Cyber Group Dangs" error="તારીખ DD/MM/YYYY ફોર્મેટમાં જ નાંખવી. &#10;તમારા સીસ્ટમની ડેટ ફોર્મેટ DD/MM/YYYY હોવી જોઇએ જેના માટે Control Panel&gt;Regional Language&gt;Customize&gt;Date&gt;Short date format માં જઇ DD/MM/YYYY કરવું. " sqref="S82:T82">
      <formula1>TODAY()</formula1>
    </dataValidation>
    <dataValidation allowBlank="1" showInputMessage="1" showErrorMessage="1" promptTitle="Enter HBA Loan taken Date" prompt="જો લોનનું વ્યાજ હોય તો લોન લીધા તારીખ ઉપરના સેલમાં લખવી ફરજીયાત છે. અન્યથા સેલ blank રાખવું " sqref="S83:T83"/>
    <dataValidation allowBlank="1" showInputMessage="1" showErrorMessage="1" promptTitle="For House Rent Allowance" prompt="જો તમો ઘરભાડું ભરતાં હોય તો PA Register માં મેળવેલ ઘરભાડું તેમજ મેળવેલ Pay, Grard Pay અને DA ની વિગત ભરવી ફરજીયાત છે." sqref="Q63:S63"/>
    <dataValidation allowBlank="1" showInputMessage="1" showErrorMessage="1" promptTitle="Cyber Group Dangs" prompt="&#10;Fill up PA Register&#10;પહેલા પગાર આકારણ પત્રક ભરો. જમણી બાજુ ઉપર &quot;Fill up PA Register&#10;પગાર આકારણી પત્રક &quot; લખેલ પર કલીક કરો" sqref="V22 J22 R22 H22 N22 X22 F22 L22 P22 W20:W22 S20:U22 G20:G22 I20:I22 O20:O22 M20:M22 Q20:Q22 K20:K22 K11:K16 Q11:Q16 M11:M16 O11:O16 I11:I16 G11:G16 S11:U16 W11:W16 E11:E16 E20:E22"/>
    <dataValidation allowBlank="1" showInputMessage="1" showErrorMessage="1" promptTitle="Cyber Group Dangs" prompt="&#10;Without Paybill Deduction&#10;&#10;પગાર બીલ સિવાય કપાત કરેલ એલ. આઇ. સી. ની રકમ અહીં લખો " sqref="O23:O31"/>
    <dataValidation allowBlank="1" showInputMessage="1" showErrorMessage="1" promptTitle="Cyber Group Dangs" prompt="&#10;Without Paybill Deduction&#10;&#10;પગાર બીલ સિવાય કપાત કરેલ મકાન લોનની મુદ્દલ રકમ અહીં લખો " sqref="Q23:R31 M73:O73"/>
    <dataValidation allowBlank="1" showInputMessage="1" showErrorMessage="1" promptTitle="Cyber Group Dangs" prompt="&#10;Without Paybill Deduction&#10;&#10;પગાર બીલ સિવાય કપાત કરેલ P L I ની રકમ અહીં લખો " sqref="U23:V31 M74:O74"/>
    <dataValidation allowBlank="1" showInputMessage="1" showErrorMessage="1" promptTitle="Cyber Group Dangs" prompt="&#10;Without Paybill Deduction&#10;&#10;પગાર બીલ સિવાય કપાત કરેલ Income Tax ની રકમ અહીં લખો " sqref="W23:X31"/>
    <dataValidation allowBlank="1" showInputMessage="1" showErrorMessage="1" promptTitle="Cyber Group Dangs" prompt="&#10;Without Paybill Deduction&#10;&#10;પગાર બીલ સિવાય કપાત કરેલ EPF / GPF ની રકમ અહીં લખો " sqref="K23:L31"/>
    <dataValidation allowBlank="1" showInputMessage="1" showErrorMessage="1" promptTitle="Cyber Group Dangs" prompt="&#10;Without Paybill Income&#10;&#10;પગાર બીલ સિવાય Arrearsની રકમમાં મેળવેલ Tran. Allow. ની રકમ અહીં લખો " sqref="I23:J31"/>
    <dataValidation allowBlank="1" showInputMessage="1" showErrorMessage="1" promptTitle="Cyber Group Dangs" prompt="&#10;Without Paybill Deduction&#10;&#10;પગાર બીલ સિવાય Arrearsની રકમમાંથી કપાત કરેલ Professional Tax ની રકમ અહીં લખો " sqref="G23:H31"/>
    <dataValidation allowBlank="1" showInputMessage="1" showErrorMessage="1" promptTitle="Cyber Group Dangs" prompt="&#10;Paybill Deduction&#10;&#10;અહીં દર્શાવેલ રકમ ઇન્કમટેક્ષ કેલ્યુલેશન સાથે કોઇ સબંધ નથી. કુલ સરવાળામાં આવશે નહી. " sqref="E30:F30"/>
    <dataValidation allowBlank="1" showInputMessage="1" showErrorMessage="1" promptTitle="Cyber Group Dangs" prompt="&#10;Bonus Income&#10;&#10;અહીં દર્શાવેલ બોનસની રકમ ઇન્કમટેક્ષ કેલ્યુલેશન પત્રકમાં સીધી દર્શાવેલ છે. કુલ સરવાળામાં આવશે નહી. " sqref="E29:F29"/>
    <dataValidation allowBlank="1" showInputMessage="1" showErrorMessage="1" promptTitle="Cyber Group Dangs" prompt="&#10;Investment of N S C&#10;&#10;જો N S C માં રોકાણ કરેલ હોય તો તે રકમ અહીં લખો. " sqref="M70:O71"/>
    <dataValidation allowBlank="1" showErrorMessage="1" promptTitle="Cyber Group Dangs" prompt="&#10;Fill up PA Register&#10;પહેલા પગાર આકારણ પત્રક ભરો. જમણી બાજુ ઉપર &quot;Fill up PA Register&#10;પગાર આકારણી પત્રક &quot; લખેલ પર કલીક કરો" sqref="C17:X19 A9:XFD10"/>
  </dataValidations>
  <hyperlinks>
    <hyperlink ref="B1:C1" location="MainMenu!A1" display="MainMenu!A1"/>
    <hyperlink ref="A1" location="BACK" display="BACK"/>
  </hyperlinks>
  <printOptions horizontalCentered="1" verticalCentered="1"/>
  <pageMargins left="0" right="0" top="0.29527559055118113" bottom="0.29527559055118113" header="0.11811023622047245" footer="0.11811023622047245"/>
  <pageSetup paperSize="9" scale="95" fitToHeight="2" orientation="portrait" horizontalDpi="1200" verticalDpi="1200" r:id="rId1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  <rowBreaks count="1" manualBreakCount="1">
    <brk id="44" max="16383" man="1"/>
  </rowBreaks>
  <ignoredErrors>
    <ignoredError sqref="E30 C20 C18" formula="1"/>
    <ignoredError sqref="E24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indexed="39"/>
  </sheetPr>
  <dimension ref="A1:AQ221"/>
  <sheetViews>
    <sheetView showGridLines="0" showRowColHeaders="0" zoomScaleSheetLayoutView="100" workbookViewId="0">
      <pane xSplit="4" ySplit="10" topLeftCell="E44" activePane="bottomRight" state="frozen"/>
      <selection activeCell="B6" sqref="B6"/>
      <selection pane="topRight" activeCell="B6" sqref="B6"/>
      <selection pane="bottomLeft" activeCell="B6" sqref="B6"/>
      <selection pane="bottomRight" activeCell="N49" sqref="N49"/>
    </sheetView>
  </sheetViews>
  <sheetFormatPr defaultColWidth="0" defaultRowHeight="15" zeroHeight="1"/>
  <cols>
    <col min="1" max="1" width="1" style="650" customWidth="1"/>
    <col min="2" max="2" width="0.5" style="650" customWidth="1"/>
    <col min="3" max="4" width="5.75" style="650" customWidth="1"/>
    <col min="5" max="7" width="4.25" style="650" customWidth="1"/>
    <col min="8" max="8" width="5.125" style="650" customWidth="1"/>
    <col min="9" max="10" width="4.25" style="650" customWidth="1"/>
    <col min="11" max="11" width="4.625" style="650" customWidth="1"/>
    <col min="12" max="17" width="4.25" style="650" customWidth="1"/>
    <col min="18" max="18" width="3.25" style="650" customWidth="1"/>
    <col min="19" max="19" width="4.625" style="650" customWidth="1"/>
    <col min="20" max="20" width="7.625" style="650" customWidth="1"/>
    <col min="21" max="21" width="4.625" style="650" customWidth="1"/>
    <col min="22" max="22" width="2.625" style="650" customWidth="1"/>
    <col min="23" max="24" width="3.125" style="650" customWidth="1"/>
    <col min="25" max="25" width="1.125" style="650" customWidth="1"/>
    <col min="26" max="26" width="1.5" style="720" customWidth="1"/>
    <col min="27" max="38" width="3.875" style="650" hidden="1" customWidth="1"/>
    <col min="39" max="39" width="2.25" style="650" hidden="1" customWidth="1"/>
    <col min="40" max="43" width="3.875" style="650" hidden="1" customWidth="1"/>
    <col min="44" max="16384" width="9" style="650" hidden="1"/>
  </cols>
  <sheetData>
    <row r="1" spans="1:26" s="269" customFormat="1" ht="39.75" customHeight="1" thickBot="1">
      <c r="A1" s="1257" t="s">
        <v>90</v>
      </c>
      <c r="B1" s="1257"/>
      <c r="C1" s="1257"/>
      <c r="D1" s="1257"/>
      <c r="E1" s="1257"/>
      <c r="F1" s="1257"/>
      <c r="G1" s="1257"/>
      <c r="H1" s="1257"/>
      <c r="I1" s="1257"/>
      <c r="J1" s="1255" t="s">
        <v>9</v>
      </c>
      <c r="K1" s="1255"/>
      <c r="L1" s="1255"/>
      <c r="M1" s="1255"/>
      <c r="N1" s="1255"/>
      <c r="O1" s="1255"/>
      <c r="P1" s="1255"/>
      <c r="Q1" s="1255"/>
      <c r="R1" s="819"/>
      <c r="S1" s="820"/>
      <c r="T1" s="820"/>
      <c r="U1" s="820"/>
      <c r="V1" s="820"/>
      <c r="W1" s="820"/>
      <c r="X1" s="820"/>
      <c r="Y1" s="820"/>
      <c r="Z1" s="824"/>
    </row>
    <row r="2" spans="1:26" s="269" customFormat="1" ht="20.25" customHeight="1" thickTop="1" thickBot="1">
      <c r="A2" s="129"/>
      <c r="B2" s="129"/>
      <c r="C2" s="129"/>
      <c r="D2" s="139" t="s">
        <v>474</v>
      </c>
      <c r="E2" s="135"/>
      <c r="F2" s="135"/>
      <c r="G2" s="135"/>
      <c r="H2" s="135"/>
      <c r="I2" s="135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7"/>
      <c r="U2" s="137"/>
      <c r="V2" s="137"/>
      <c r="W2" s="138"/>
      <c r="X2" s="134"/>
      <c r="Y2" s="134"/>
      <c r="Z2" s="772"/>
    </row>
    <row r="3" spans="1:26" ht="4.5" customHeight="1" thickTop="1">
      <c r="A3" s="649"/>
      <c r="B3" s="649"/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649"/>
      <c r="Q3" s="649"/>
      <c r="R3" s="649"/>
      <c r="S3" s="649"/>
      <c r="T3" s="649"/>
      <c r="U3" s="649"/>
      <c r="V3" s="649"/>
      <c r="W3" s="649"/>
      <c r="X3" s="649"/>
      <c r="Y3" s="649"/>
    </row>
    <row r="4" spans="1:26" ht="18" customHeight="1">
      <c r="A4" s="649"/>
      <c r="B4" s="649"/>
      <c r="C4" s="651"/>
      <c r="D4" s="651"/>
      <c r="E4" s="651"/>
      <c r="F4" s="651"/>
      <c r="G4" s="651"/>
      <c r="H4" s="651"/>
      <c r="I4" s="651"/>
      <c r="J4" s="651"/>
      <c r="K4" s="651"/>
      <c r="L4" s="651"/>
      <c r="M4" s="651"/>
      <c r="N4" s="651"/>
      <c r="O4" s="651"/>
      <c r="P4" s="651"/>
      <c r="Q4" s="651"/>
      <c r="R4" s="651"/>
      <c r="S4" s="651"/>
      <c r="T4" s="652" t="s">
        <v>32</v>
      </c>
      <c r="U4" s="1555">
        <f>'Master Deails'!C2</f>
        <v>44256</v>
      </c>
      <c r="V4" s="1555"/>
      <c r="W4" s="1556">
        <f>'Master Deails'!E2</f>
        <v>44562</v>
      </c>
      <c r="X4" s="1556"/>
      <c r="Y4" s="649"/>
    </row>
    <row r="5" spans="1:26" ht="1.5" customHeight="1">
      <c r="A5" s="649"/>
      <c r="B5" s="649"/>
      <c r="C5" s="651"/>
      <c r="D5" s="651"/>
      <c r="E5" s="651"/>
      <c r="F5" s="651"/>
      <c r="G5" s="651"/>
      <c r="H5" s="651"/>
      <c r="I5" s="651"/>
      <c r="J5" s="651"/>
      <c r="K5" s="651"/>
      <c r="L5" s="651"/>
      <c r="M5" s="651"/>
      <c r="N5" s="651"/>
      <c r="O5" s="651"/>
      <c r="P5" s="651"/>
      <c r="Q5" s="651"/>
      <c r="R5" s="651"/>
      <c r="S5" s="651"/>
      <c r="T5" s="651"/>
      <c r="U5" s="651"/>
      <c r="V5" s="651"/>
      <c r="W5" s="651"/>
      <c r="X5" s="651"/>
      <c r="Y5" s="649"/>
    </row>
    <row r="6" spans="1:26">
      <c r="A6" s="649"/>
      <c r="B6" s="649"/>
      <c r="C6" s="1543" t="s">
        <v>56</v>
      </c>
      <c r="D6" s="1544"/>
      <c r="E6" s="1544"/>
      <c r="F6" s="1545"/>
      <c r="G6" s="1554" t="str">
        <f>'Master Deails'!A7</f>
        <v>SHRI K J PATEL</v>
      </c>
      <c r="H6" s="1554"/>
      <c r="I6" s="1554"/>
      <c r="J6" s="1554"/>
      <c r="K6" s="1554"/>
      <c r="L6" s="1554"/>
      <c r="M6" s="1554"/>
      <c r="N6" s="1554"/>
      <c r="O6" s="1554"/>
      <c r="P6" s="1554"/>
      <c r="Q6" s="1554"/>
      <c r="R6" s="1554"/>
      <c r="S6" s="1554"/>
      <c r="T6" s="1554"/>
      <c r="U6" s="1554"/>
      <c r="V6" s="1554"/>
      <c r="W6" s="1554"/>
      <c r="X6" s="1554"/>
      <c r="Y6" s="649"/>
    </row>
    <row r="7" spans="1:26">
      <c r="A7" s="649"/>
      <c r="B7" s="649"/>
      <c r="C7" s="1543" t="s">
        <v>93</v>
      </c>
      <c r="D7" s="1544"/>
      <c r="E7" s="1544"/>
      <c r="F7" s="1545"/>
      <c r="G7" s="1554" t="str">
        <f>'Master Deails'!A18</f>
        <v>RETIRED PS 2 DDO DANGS</v>
      </c>
      <c r="H7" s="1554"/>
      <c r="I7" s="1554"/>
      <c r="J7" s="1554"/>
      <c r="K7" s="1554"/>
      <c r="L7" s="1554"/>
      <c r="M7" s="1554"/>
      <c r="N7" s="1554"/>
      <c r="O7" s="1554"/>
      <c r="P7" s="1554"/>
      <c r="Q7" s="1554"/>
      <c r="R7" s="1554"/>
      <c r="S7" s="1554"/>
      <c r="T7" s="1554"/>
      <c r="U7" s="1554"/>
      <c r="V7" s="1554"/>
      <c r="W7" s="1554"/>
      <c r="X7" s="1554"/>
      <c r="Y7" s="649"/>
    </row>
    <row r="8" spans="1:26" ht="2.25" customHeight="1">
      <c r="A8" s="649"/>
      <c r="B8" s="655"/>
      <c r="C8" s="653"/>
      <c r="D8" s="653"/>
      <c r="E8" s="653"/>
      <c r="F8" s="653"/>
      <c r="G8" s="653"/>
      <c r="H8" s="653"/>
      <c r="I8" s="653"/>
      <c r="J8" s="653"/>
      <c r="K8" s="653"/>
      <c r="L8" s="653"/>
      <c r="M8" s="653"/>
      <c r="N8" s="653"/>
      <c r="O8" s="653"/>
      <c r="P8" s="653"/>
      <c r="Q8" s="653"/>
      <c r="R8" s="653"/>
      <c r="S8" s="653"/>
      <c r="T8" s="653"/>
      <c r="U8" s="653"/>
      <c r="V8" s="653"/>
      <c r="W8" s="653"/>
      <c r="X8" s="653"/>
      <c r="Y8" s="655"/>
    </row>
    <row r="9" spans="1:26" s="658" customFormat="1" ht="21" hidden="1" customHeight="1">
      <c r="A9" s="656"/>
      <c r="B9" s="1557"/>
      <c r="C9" s="1546" t="s">
        <v>143</v>
      </c>
      <c r="D9" s="1547"/>
      <c r="E9" s="1535" t="s">
        <v>144</v>
      </c>
      <c r="F9" s="1536"/>
      <c r="G9" s="1536"/>
      <c r="H9" s="1536"/>
      <c r="I9" s="1536"/>
      <c r="J9" s="1536"/>
      <c r="K9" s="1536"/>
      <c r="L9" s="1536"/>
      <c r="M9" s="1536"/>
      <c r="N9" s="1536"/>
      <c r="O9" s="1536"/>
      <c r="P9" s="1536"/>
      <c r="Q9" s="1536"/>
      <c r="R9" s="1536"/>
      <c r="S9" s="1536"/>
      <c r="T9" s="1536"/>
      <c r="U9" s="1536"/>
      <c r="V9" s="1536"/>
      <c r="W9" s="1536"/>
      <c r="X9" s="1553"/>
      <c r="Y9" s="657"/>
      <c r="Z9" s="773"/>
    </row>
    <row r="10" spans="1:26" s="658" customFormat="1" ht="50.25" hidden="1" customHeight="1">
      <c r="A10" s="656"/>
      <c r="B10" s="1558"/>
      <c r="C10" s="1548"/>
      <c r="D10" s="1549"/>
      <c r="E10" s="1551" t="s">
        <v>83</v>
      </c>
      <c r="F10" s="1551"/>
      <c r="G10" s="1552" t="s">
        <v>155</v>
      </c>
      <c r="H10" s="1552"/>
      <c r="I10" s="1552" t="s">
        <v>145</v>
      </c>
      <c r="J10" s="1552"/>
      <c r="K10" s="1552" t="str">
        <f>'Earning- Salary'!A36</f>
        <v>GPF (Without NPS)</v>
      </c>
      <c r="L10" s="1552"/>
      <c r="M10" s="1550" t="s">
        <v>133</v>
      </c>
      <c r="N10" s="1550"/>
      <c r="O10" s="1552" t="s">
        <v>135</v>
      </c>
      <c r="P10" s="1552"/>
      <c r="Q10" s="1552" t="s">
        <v>154</v>
      </c>
      <c r="R10" s="1552"/>
      <c r="S10" s="659" t="s">
        <v>146</v>
      </c>
      <c r="T10" s="659" t="s">
        <v>153</v>
      </c>
      <c r="U10" s="1552" t="s">
        <v>157</v>
      </c>
      <c r="V10" s="1552"/>
      <c r="W10" s="1552" t="s">
        <v>147</v>
      </c>
      <c r="X10" s="1552"/>
      <c r="Y10" s="657"/>
      <c r="Z10" s="773"/>
    </row>
    <row r="11" spans="1:26" s="658" customFormat="1" ht="21" hidden="1" customHeight="1">
      <c r="A11" s="656"/>
      <c r="B11" s="657"/>
      <c r="C11" s="1541">
        <f>'Master Deails'!C2</f>
        <v>44256</v>
      </c>
      <c r="D11" s="1542"/>
      <c r="E11" s="1523">
        <f>'Earning- Salary'!B26</f>
        <v>60360</v>
      </c>
      <c r="F11" s="1524"/>
      <c r="G11" s="1523">
        <f>'Earning- Salary'!B41</f>
        <v>200</v>
      </c>
      <c r="H11" s="1524"/>
      <c r="I11" s="1537">
        <f>'Earning- Salary'!B16</f>
        <v>10</v>
      </c>
      <c r="J11" s="1538"/>
      <c r="K11" s="1537">
        <f>'Earning- Salary'!B36+'Earning- Salary'!B37+'Earning- Salary'!B38</f>
        <v>2000</v>
      </c>
      <c r="L11" s="1538"/>
      <c r="M11" s="1537">
        <f>'Earning- Salary'!B42</f>
        <v>400</v>
      </c>
      <c r="N11" s="1538"/>
      <c r="O11" s="1537">
        <f>'Earning- Salary'!B44</f>
        <v>0</v>
      </c>
      <c r="P11" s="1538"/>
      <c r="Q11" s="1537">
        <f>'Earning- Salary'!B31</f>
        <v>0</v>
      </c>
      <c r="R11" s="1538"/>
      <c r="S11" s="661">
        <f>'Earning- Salary'!B15</f>
        <v>0</v>
      </c>
      <c r="T11" s="661">
        <f>'Earning- Salary'!B18</f>
        <v>0</v>
      </c>
      <c r="U11" s="1537">
        <f>'Earning- Salary'!B43</f>
        <v>0</v>
      </c>
      <c r="V11" s="1538"/>
      <c r="W11" s="1537">
        <f>'Earning- Salary'!B45</f>
        <v>3000</v>
      </c>
      <c r="X11" s="1538"/>
      <c r="Y11" s="657"/>
      <c r="Z11" s="773"/>
    </row>
    <row r="12" spans="1:26" s="658" customFormat="1" ht="21" hidden="1" customHeight="1">
      <c r="A12" s="656"/>
      <c r="B12" s="657"/>
      <c r="C12" s="1541">
        <f>C11+31</f>
        <v>44287</v>
      </c>
      <c r="D12" s="1542"/>
      <c r="E12" s="1523">
        <f>'Earning- Salary'!C26</f>
        <v>60360</v>
      </c>
      <c r="F12" s="1524"/>
      <c r="G12" s="1523">
        <f>'Earning- Salary'!C41</f>
        <v>200</v>
      </c>
      <c r="H12" s="1524"/>
      <c r="I12" s="1537">
        <f>'Earning- Salary'!C16</f>
        <v>10</v>
      </c>
      <c r="J12" s="1538"/>
      <c r="K12" s="1537">
        <f>'Earning- Salary'!C36+'Earning- Salary'!C37+'Earning- Salary'!C38</f>
        <v>2000</v>
      </c>
      <c r="L12" s="1538"/>
      <c r="M12" s="1537">
        <f>'Earning- Salary'!C42</f>
        <v>400</v>
      </c>
      <c r="N12" s="1538"/>
      <c r="O12" s="1537">
        <f>'Earning- Salary'!C44</f>
        <v>0</v>
      </c>
      <c r="P12" s="1538"/>
      <c r="Q12" s="1537">
        <f>'Earning- Salary'!C31</f>
        <v>0</v>
      </c>
      <c r="R12" s="1538"/>
      <c r="S12" s="661">
        <f>'Earning- Salary'!C15</f>
        <v>0</v>
      </c>
      <c r="T12" s="661">
        <f>'Earning- Salary'!C18</f>
        <v>0</v>
      </c>
      <c r="U12" s="1537">
        <f>'Earning- Salary'!C43</f>
        <v>0</v>
      </c>
      <c r="V12" s="1538"/>
      <c r="W12" s="1537">
        <f>'Earning- Salary'!C45</f>
        <v>3000</v>
      </c>
      <c r="X12" s="1538"/>
      <c r="Y12" s="657"/>
      <c r="Z12" s="773"/>
    </row>
    <row r="13" spans="1:26" s="658" customFormat="1" ht="21" hidden="1" customHeight="1">
      <c r="A13" s="656"/>
      <c r="B13" s="657"/>
      <c r="C13" s="1541">
        <f>C12+30</f>
        <v>44317</v>
      </c>
      <c r="D13" s="1542"/>
      <c r="E13" s="1523">
        <f>'Earning- Salary'!D26</f>
        <v>60360</v>
      </c>
      <c r="F13" s="1524"/>
      <c r="G13" s="1523">
        <f>'Earning- Salary'!D41</f>
        <v>200</v>
      </c>
      <c r="H13" s="1524"/>
      <c r="I13" s="1537">
        <f>'Earning- Salary'!D16</f>
        <v>10</v>
      </c>
      <c r="J13" s="1538"/>
      <c r="K13" s="1537">
        <f>'Earning- Salary'!D36+'Earning- Salary'!D37+'Earning- Salary'!D38</f>
        <v>2000</v>
      </c>
      <c r="L13" s="1538"/>
      <c r="M13" s="1537">
        <f>'Earning- Salary'!D42</f>
        <v>400</v>
      </c>
      <c r="N13" s="1538"/>
      <c r="O13" s="1537">
        <f>'Earning- Salary'!D44</f>
        <v>0</v>
      </c>
      <c r="P13" s="1538"/>
      <c r="Q13" s="1537">
        <f>'Earning- Salary'!D31</f>
        <v>0</v>
      </c>
      <c r="R13" s="1538"/>
      <c r="S13" s="661">
        <f>'Earning- Salary'!D15</f>
        <v>0</v>
      </c>
      <c r="T13" s="661">
        <f>'Earning- Salary'!D18</f>
        <v>0</v>
      </c>
      <c r="U13" s="1537">
        <f>'Earning- Salary'!D43</f>
        <v>0</v>
      </c>
      <c r="V13" s="1538"/>
      <c r="W13" s="1537">
        <f>'Earning- Salary'!D45</f>
        <v>3000</v>
      </c>
      <c r="X13" s="1538"/>
      <c r="Y13" s="657"/>
      <c r="Z13" s="773"/>
    </row>
    <row r="14" spans="1:26" s="658" customFormat="1" ht="21" hidden="1" customHeight="1">
      <c r="A14" s="656"/>
      <c r="B14" s="657"/>
      <c r="C14" s="1541">
        <f>C13+31</f>
        <v>44348</v>
      </c>
      <c r="D14" s="1542"/>
      <c r="E14" s="1523">
        <f>'Earning- Salary'!E26</f>
        <v>60360</v>
      </c>
      <c r="F14" s="1524"/>
      <c r="G14" s="1523">
        <f>'Earning- Salary'!E41</f>
        <v>200</v>
      </c>
      <c r="H14" s="1524"/>
      <c r="I14" s="1537">
        <f>'Earning- Salary'!E16</f>
        <v>10</v>
      </c>
      <c r="J14" s="1538"/>
      <c r="K14" s="1537">
        <f>'Earning- Salary'!E36+'Earning- Salary'!E37+'Earning- Salary'!E38</f>
        <v>2000</v>
      </c>
      <c r="L14" s="1538"/>
      <c r="M14" s="1537">
        <f>'Earning- Salary'!E42</f>
        <v>400</v>
      </c>
      <c r="N14" s="1538"/>
      <c r="O14" s="1537">
        <f>'Earning- Salary'!E44</f>
        <v>0</v>
      </c>
      <c r="P14" s="1538"/>
      <c r="Q14" s="1537">
        <f>'Earning- Salary'!E31</f>
        <v>0</v>
      </c>
      <c r="R14" s="1538"/>
      <c r="S14" s="661">
        <f>'Earning- Salary'!E15</f>
        <v>0</v>
      </c>
      <c r="T14" s="661">
        <f>'Earning- Salary'!E18</f>
        <v>0</v>
      </c>
      <c r="U14" s="1537">
        <f>'Earning- Salary'!E43</f>
        <v>0</v>
      </c>
      <c r="V14" s="1538"/>
      <c r="W14" s="1537">
        <f>'Earning- Salary'!E45</f>
        <v>3000</v>
      </c>
      <c r="X14" s="1538"/>
      <c r="Y14" s="657"/>
      <c r="Z14" s="773"/>
    </row>
    <row r="15" spans="1:26" s="658" customFormat="1" ht="21" hidden="1" customHeight="1">
      <c r="A15" s="656"/>
      <c r="B15" s="657"/>
      <c r="C15" s="1541">
        <f>C14+30</f>
        <v>44378</v>
      </c>
      <c r="D15" s="1542"/>
      <c r="E15" s="1523">
        <f>'Earning- Salary'!F26</f>
        <v>60360</v>
      </c>
      <c r="F15" s="1524"/>
      <c r="G15" s="1523">
        <f>'Earning- Salary'!F41</f>
        <v>200</v>
      </c>
      <c r="H15" s="1524"/>
      <c r="I15" s="1537">
        <f>'Earning- Salary'!F16</f>
        <v>10</v>
      </c>
      <c r="J15" s="1538"/>
      <c r="K15" s="1537">
        <f>'Earning- Salary'!F36+'Earning- Salary'!F37+'Earning- Salary'!F38</f>
        <v>2000</v>
      </c>
      <c r="L15" s="1538"/>
      <c r="M15" s="1537">
        <f>'Earning- Salary'!F42</f>
        <v>400</v>
      </c>
      <c r="N15" s="1538"/>
      <c r="O15" s="1537">
        <f>'Earning- Salary'!F44</f>
        <v>0</v>
      </c>
      <c r="P15" s="1538"/>
      <c r="Q15" s="1537">
        <f>'Earning- Salary'!F31</f>
        <v>0</v>
      </c>
      <c r="R15" s="1538"/>
      <c r="S15" s="661">
        <f>'Earning- Salary'!F15</f>
        <v>0</v>
      </c>
      <c r="T15" s="661">
        <f>'Earning- Salary'!F18</f>
        <v>0</v>
      </c>
      <c r="U15" s="1537">
        <f>'Earning- Salary'!F43</f>
        <v>0</v>
      </c>
      <c r="V15" s="1538"/>
      <c r="W15" s="1537">
        <f>'Earning- Salary'!F45</f>
        <v>3000</v>
      </c>
      <c r="X15" s="1538"/>
      <c r="Y15" s="657"/>
      <c r="Z15" s="773"/>
    </row>
    <row r="16" spans="1:26" s="658" customFormat="1" ht="21" hidden="1" customHeight="1">
      <c r="A16" s="656"/>
      <c r="B16" s="657"/>
      <c r="C16" s="1541">
        <f>C15+31</f>
        <v>44409</v>
      </c>
      <c r="D16" s="1542"/>
      <c r="E16" s="1523">
        <f>'Earning- Salary'!G26</f>
        <v>60360</v>
      </c>
      <c r="F16" s="1524"/>
      <c r="G16" s="1523">
        <f>'Earning- Salary'!G41</f>
        <v>200</v>
      </c>
      <c r="H16" s="1524"/>
      <c r="I16" s="1537">
        <f>'Earning- Salary'!G16</f>
        <v>10</v>
      </c>
      <c r="J16" s="1538"/>
      <c r="K16" s="1537">
        <f>'Earning- Salary'!G36+'Earning- Salary'!G37+'Earning- Salary'!G38</f>
        <v>2000</v>
      </c>
      <c r="L16" s="1538"/>
      <c r="M16" s="1537">
        <f>'Earning- Salary'!G42</f>
        <v>400</v>
      </c>
      <c r="N16" s="1538"/>
      <c r="O16" s="1537">
        <f>'Earning- Salary'!G44</f>
        <v>0</v>
      </c>
      <c r="P16" s="1538"/>
      <c r="Q16" s="1537">
        <f>'Earning- Salary'!G31</f>
        <v>0</v>
      </c>
      <c r="R16" s="1538"/>
      <c r="S16" s="661">
        <f>'Earning- Salary'!G15</f>
        <v>0</v>
      </c>
      <c r="T16" s="661">
        <f>'Earning- Salary'!G18</f>
        <v>0</v>
      </c>
      <c r="U16" s="1537">
        <f>'Earning- Salary'!G43</f>
        <v>0</v>
      </c>
      <c r="V16" s="1538"/>
      <c r="W16" s="1537">
        <f>'Earning- Salary'!G45</f>
        <v>3000</v>
      </c>
      <c r="X16" s="1538"/>
      <c r="Y16" s="657"/>
      <c r="Z16" s="773"/>
    </row>
    <row r="17" spans="1:26" s="658" customFormat="1" ht="21" hidden="1" customHeight="1">
      <c r="A17" s="656"/>
      <c r="B17" s="657"/>
      <c r="C17" s="1541">
        <f>C16+31</f>
        <v>44440</v>
      </c>
      <c r="D17" s="1542"/>
      <c r="E17" s="1523">
        <f>'Earning- Salary'!H26</f>
        <v>60360</v>
      </c>
      <c r="F17" s="1524"/>
      <c r="G17" s="1523">
        <f>'Earning- Salary'!H41</f>
        <v>200</v>
      </c>
      <c r="H17" s="1524"/>
      <c r="I17" s="1537">
        <f>'Earning- Salary'!H16</f>
        <v>10</v>
      </c>
      <c r="J17" s="1538"/>
      <c r="K17" s="1537">
        <f>'Earning- Salary'!H36+'Earning- Salary'!H37+'Earning- Salary'!H38</f>
        <v>2000</v>
      </c>
      <c r="L17" s="1538"/>
      <c r="M17" s="1537">
        <f>'Earning- Salary'!H42</f>
        <v>400</v>
      </c>
      <c r="N17" s="1538"/>
      <c r="O17" s="1537">
        <f>'Earning- Salary'!H44</f>
        <v>0</v>
      </c>
      <c r="P17" s="1538"/>
      <c r="Q17" s="1537">
        <f>'Earning- Salary'!H31</f>
        <v>0</v>
      </c>
      <c r="R17" s="1538"/>
      <c r="S17" s="661">
        <f>'Earning- Salary'!H15</f>
        <v>0</v>
      </c>
      <c r="T17" s="661">
        <f>'Earning- Salary'!H18</f>
        <v>0</v>
      </c>
      <c r="U17" s="1537">
        <f>'Earning- Salary'!H43</f>
        <v>0</v>
      </c>
      <c r="V17" s="1538"/>
      <c r="W17" s="1537">
        <f>'Earning- Salary'!H45</f>
        <v>3000</v>
      </c>
      <c r="X17" s="1538"/>
      <c r="Y17" s="657"/>
      <c r="Z17" s="773"/>
    </row>
    <row r="18" spans="1:26" s="658" customFormat="1" ht="21" hidden="1" customHeight="1">
      <c r="A18" s="656"/>
      <c r="B18" s="657"/>
      <c r="C18" s="1541">
        <f>C17+30</f>
        <v>44470</v>
      </c>
      <c r="D18" s="1542"/>
      <c r="E18" s="1523">
        <f>'Earning- Salary'!I26</f>
        <v>142446</v>
      </c>
      <c r="F18" s="1524"/>
      <c r="G18" s="1523">
        <f>'Earning- Salary'!I41</f>
        <v>200</v>
      </c>
      <c r="H18" s="1524"/>
      <c r="I18" s="1537">
        <f>'Earning- Salary'!I16</f>
        <v>10</v>
      </c>
      <c r="J18" s="1538"/>
      <c r="K18" s="1537">
        <f>'Earning- Salary'!I36+'Earning- Salary'!I37+'Earning- Salary'!I38</f>
        <v>2000</v>
      </c>
      <c r="L18" s="1538"/>
      <c r="M18" s="1537">
        <f>'Earning- Salary'!I42</f>
        <v>400</v>
      </c>
      <c r="N18" s="1538"/>
      <c r="O18" s="1537">
        <f>'Earning- Salary'!I44</f>
        <v>0</v>
      </c>
      <c r="P18" s="1538"/>
      <c r="Q18" s="1537">
        <f>'Earning- Salary'!I31</f>
        <v>0</v>
      </c>
      <c r="R18" s="1538"/>
      <c r="S18" s="661">
        <f>'Earning- Salary'!I15</f>
        <v>0</v>
      </c>
      <c r="T18" s="661">
        <f>'Earning- Salary'!I18</f>
        <v>0</v>
      </c>
      <c r="U18" s="1537">
        <f>'Earning- Salary'!I43</f>
        <v>0</v>
      </c>
      <c r="V18" s="1538"/>
      <c r="W18" s="1537">
        <f>'Earning- Salary'!I45</f>
        <v>3000</v>
      </c>
      <c r="X18" s="1538"/>
      <c r="Y18" s="657"/>
      <c r="Z18" s="773"/>
    </row>
    <row r="19" spans="1:26" s="658" customFormat="1" ht="21" hidden="1" customHeight="1">
      <c r="A19" s="656"/>
      <c r="B19" s="657"/>
      <c r="C19" s="1541">
        <f>C18+31</f>
        <v>44501</v>
      </c>
      <c r="D19" s="1542"/>
      <c r="E19" s="1523">
        <f>'Earning- Salary'!J26</f>
        <v>78210</v>
      </c>
      <c r="F19" s="1524"/>
      <c r="G19" s="1523">
        <f>'Earning- Salary'!J41</f>
        <v>200</v>
      </c>
      <c r="H19" s="1524"/>
      <c r="I19" s="1537">
        <f>'Earning- Salary'!J16</f>
        <v>10</v>
      </c>
      <c r="J19" s="1538"/>
      <c r="K19" s="1537">
        <f>'Earning- Salary'!J36+'Earning- Salary'!J37+'Earning- Salary'!J38</f>
        <v>2000</v>
      </c>
      <c r="L19" s="1538"/>
      <c r="M19" s="1537">
        <f>'Earning- Salary'!J42</f>
        <v>400</v>
      </c>
      <c r="N19" s="1538"/>
      <c r="O19" s="1537">
        <f>'Earning- Salary'!J44</f>
        <v>0</v>
      </c>
      <c r="P19" s="1538"/>
      <c r="Q19" s="1537">
        <f>'Earning- Salary'!J31</f>
        <v>0</v>
      </c>
      <c r="R19" s="1538"/>
      <c r="S19" s="661">
        <f>'Earning- Salary'!J15</f>
        <v>0</v>
      </c>
      <c r="T19" s="661">
        <f>'Earning- Salary'!J18</f>
        <v>0</v>
      </c>
      <c r="U19" s="1537">
        <f>'Earning- Salary'!J43</f>
        <v>0</v>
      </c>
      <c r="V19" s="1538"/>
      <c r="W19" s="1537">
        <f>'Earning- Salary'!J45</f>
        <v>3000</v>
      </c>
      <c r="X19" s="1538"/>
      <c r="Y19" s="657"/>
      <c r="Z19" s="773"/>
    </row>
    <row r="20" spans="1:26" s="658" customFormat="1" ht="21" hidden="1" customHeight="1">
      <c r="A20" s="656"/>
      <c r="B20" s="657"/>
      <c r="C20" s="1541">
        <f>C19+30</f>
        <v>44531</v>
      </c>
      <c r="D20" s="1542"/>
      <c r="E20" s="1523">
        <f>'Earning- Salary'!K26</f>
        <v>60360</v>
      </c>
      <c r="F20" s="1524"/>
      <c r="G20" s="1523">
        <f>'Earning- Salary'!K41</f>
        <v>200</v>
      </c>
      <c r="H20" s="1524"/>
      <c r="I20" s="1537">
        <f>'Earning- Salary'!K16</f>
        <v>10</v>
      </c>
      <c r="J20" s="1538"/>
      <c r="K20" s="1537">
        <f>'Earning- Salary'!K36+'Earning- Salary'!K37+'Earning- Salary'!K38</f>
        <v>2000</v>
      </c>
      <c r="L20" s="1538"/>
      <c r="M20" s="1537">
        <f>'Earning- Salary'!K42</f>
        <v>400</v>
      </c>
      <c r="N20" s="1538"/>
      <c r="O20" s="1537">
        <f>'Earning- Salary'!K44</f>
        <v>0</v>
      </c>
      <c r="P20" s="1538"/>
      <c r="Q20" s="1537">
        <f>'Earning- Salary'!K31</f>
        <v>0</v>
      </c>
      <c r="R20" s="1538"/>
      <c r="S20" s="661">
        <f>'Earning- Salary'!K15</f>
        <v>0</v>
      </c>
      <c r="T20" s="661">
        <f>'Earning- Salary'!K18</f>
        <v>0</v>
      </c>
      <c r="U20" s="1537">
        <f>'Earning- Salary'!K43</f>
        <v>0</v>
      </c>
      <c r="V20" s="1538"/>
      <c r="W20" s="1537">
        <f>'Earning- Salary'!K45</f>
        <v>3000</v>
      </c>
      <c r="X20" s="1538"/>
      <c r="Y20" s="657"/>
      <c r="Z20" s="773"/>
    </row>
    <row r="21" spans="1:26" s="658" customFormat="1" ht="21" hidden="1" customHeight="1">
      <c r="A21" s="656"/>
      <c r="B21" s="657"/>
      <c r="C21" s="1541">
        <f>C20+31</f>
        <v>44562</v>
      </c>
      <c r="D21" s="1542"/>
      <c r="E21" s="1523">
        <f>'Earning- Salary'!L26</f>
        <v>60360</v>
      </c>
      <c r="F21" s="1524"/>
      <c r="G21" s="1523">
        <f>'Earning- Salary'!L41</f>
        <v>200</v>
      </c>
      <c r="H21" s="1524"/>
      <c r="I21" s="1537">
        <f>'Earning- Salary'!L16</f>
        <v>10</v>
      </c>
      <c r="J21" s="1538"/>
      <c r="K21" s="1537">
        <f>'Earning- Salary'!L36+'Earning- Salary'!L37+'Earning- Salary'!L38</f>
        <v>2000</v>
      </c>
      <c r="L21" s="1538"/>
      <c r="M21" s="1537">
        <f>'Earning- Salary'!L42</f>
        <v>400</v>
      </c>
      <c r="N21" s="1538"/>
      <c r="O21" s="1537">
        <f>'Earning- Salary'!L44</f>
        <v>0</v>
      </c>
      <c r="P21" s="1538"/>
      <c r="Q21" s="1537">
        <f>'Earning- Salary'!L31</f>
        <v>0</v>
      </c>
      <c r="R21" s="1538"/>
      <c r="S21" s="661">
        <f>'Earning- Salary'!L15</f>
        <v>0</v>
      </c>
      <c r="T21" s="661">
        <f>'Earning- Salary'!L18</f>
        <v>0</v>
      </c>
      <c r="U21" s="1537">
        <f>'Earning- Salary'!L43</f>
        <v>0</v>
      </c>
      <c r="V21" s="1538"/>
      <c r="W21" s="1537">
        <f>'Earning- Salary'!L45</f>
        <v>3000</v>
      </c>
      <c r="X21" s="1538"/>
      <c r="Y21" s="657"/>
      <c r="Z21" s="773"/>
    </row>
    <row r="22" spans="1:26" s="658" customFormat="1" ht="21" hidden="1" customHeight="1">
      <c r="A22" s="656"/>
      <c r="B22" s="657"/>
      <c r="C22" s="1541">
        <f>C21+31</f>
        <v>44593</v>
      </c>
      <c r="D22" s="1542"/>
      <c r="E22" s="1523">
        <f>'Earning- Salary'!M26</f>
        <v>60360</v>
      </c>
      <c r="F22" s="1524"/>
      <c r="G22" s="1523">
        <f>'Earning- Salary'!M41</f>
        <v>200</v>
      </c>
      <c r="H22" s="1524"/>
      <c r="I22" s="1537">
        <f>'Earning- Salary'!M16</f>
        <v>10</v>
      </c>
      <c r="J22" s="1538"/>
      <c r="K22" s="1537">
        <f>'Earning- Salary'!M36+'Earning- Salary'!M37+'Earning- Salary'!M38</f>
        <v>2000</v>
      </c>
      <c r="L22" s="1538"/>
      <c r="M22" s="1537">
        <f>'Earning- Salary'!M42</f>
        <v>400</v>
      </c>
      <c r="N22" s="1538"/>
      <c r="O22" s="1537">
        <f>'Earning- Salary'!M44</f>
        <v>0</v>
      </c>
      <c r="P22" s="1538"/>
      <c r="Q22" s="1537">
        <f>'Earning- Salary'!M31</f>
        <v>0</v>
      </c>
      <c r="R22" s="1538"/>
      <c r="S22" s="661">
        <f>'Earning- Salary'!M15</f>
        <v>0</v>
      </c>
      <c r="T22" s="661">
        <f>'Earning- Salary'!M18</f>
        <v>0</v>
      </c>
      <c r="U22" s="1537">
        <f>'Earning- Salary'!M43</f>
        <v>0</v>
      </c>
      <c r="V22" s="1538"/>
      <c r="W22" s="1537">
        <f>'Earning- Salary'!M45</f>
        <v>0</v>
      </c>
      <c r="X22" s="1538"/>
      <c r="Y22" s="657"/>
      <c r="Z22" s="773"/>
    </row>
    <row r="23" spans="1:26" s="658" customFormat="1" ht="21" hidden="1" customHeight="1">
      <c r="A23" s="656"/>
      <c r="B23" s="657"/>
      <c r="C23" s="1535" t="s">
        <v>172</v>
      </c>
      <c r="D23" s="1536"/>
      <c r="E23" s="1507">
        <v>13936</v>
      </c>
      <c r="F23" s="1508"/>
      <c r="G23" s="1507">
        <v>0</v>
      </c>
      <c r="H23" s="1508"/>
      <c r="I23" s="1507">
        <v>0</v>
      </c>
      <c r="J23" s="1508"/>
      <c r="K23" s="1507">
        <v>0</v>
      </c>
      <c r="L23" s="1508"/>
      <c r="M23" s="1539"/>
      <c r="N23" s="1540"/>
      <c r="O23" s="1507">
        <v>0</v>
      </c>
      <c r="P23" s="1508"/>
      <c r="Q23" s="1507">
        <v>0</v>
      </c>
      <c r="R23" s="1508"/>
      <c r="S23" s="662"/>
      <c r="T23" s="663"/>
      <c r="U23" s="1507">
        <v>0</v>
      </c>
      <c r="V23" s="1508"/>
      <c r="W23" s="1507">
        <v>0</v>
      </c>
      <c r="X23" s="1508"/>
      <c r="Y23" s="657"/>
      <c r="Z23" s="773"/>
    </row>
    <row r="24" spans="1:26" s="658" customFormat="1" ht="21" hidden="1" customHeight="1">
      <c r="A24" s="656"/>
      <c r="B24" s="657"/>
      <c r="C24" s="1535" t="s">
        <v>172</v>
      </c>
      <c r="D24" s="1536"/>
      <c r="E24" s="1507">
        <v>1656</v>
      </c>
      <c r="F24" s="1508"/>
      <c r="G24" s="1507">
        <v>0</v>
      </c>
      <c r="H24" s="1508"/>
      <c r="I24" s="1507">
        <v>0</v>
      </c>
      <c r="J24" s="1508"/>
      <c r="K24" s="1507">
        <v>0</v>
      </c>
      <c r="L24" s="1508"/>
      <c r="M24" s="1529"/>
      <c r="N24" s="1530"/>
      <c r="O24" s="1507">
        <v>0</v>
      </c>
      <c r="P24" s="1508"/>
      <c r="Q24" s="1507">
        <v>0</v>
      </c>
      <c r="R24" s="1508"/>
      <c r="S24" s="664"/>
      <c r="T24" s="666"/>
      <c r="U24" s="1507">
        <v>0</v>
      </c>
      <c r="V24" s="1508"/>
      <c r="W24" s="1507">
        <v>0</v>
      </c>
      <c r="X24" s="1508"/>
      <c r="Y24" s="657"/>
      <c r="Z24" s="773"/>
    </row>
    <row r="25" spans="1:26" s="658" customFormat="1" ht="21" hidden="1" customHeight="1">
      <c r="A25" s="656"/>
      <c r="B25" s="657"/>
      <c r="C25" s="1527" t="str">
        <f>'Other than Salary Income'!D41</f>
        <v>Leave travel concession</v>
      </c>
      <c r="D25" s="1528"/>
      <c r="E25" s="1523">
        <f>'Other than Salary Income'!U41</f>
        <v>45786</v>
      </c>
      <c r="F25" s="1524"/>
      <c r="G25" s="1507">
        <v>0</v>
      </c>
      <c r="H25" s="1508"/>
      <c r="I25" s="1507">
        <v>0</v>
      </c>
      <c r="J25" s="1508"/>
      <c r="K25" s="1507">
        <v>0</v>
      </c>
      <c r="L25" s="1508"/>
      <c r="M25" s="664"/>
      <c r="N25" s="665"/>
      <c r="O25" s="1507">
        <v>0</v>
      </c>
      <c r="P25" s="1508"/>
      <c r="Q25" s="1507">
        <v>0</v>
      </c>
      <c r="R25" s="1508"/>
      <c r="S25" s="664"/>
      <c r="T25" s="666"/>
      <c r="U25" s="1507">
        <v>0</v>
      </c>
      <c r="V25" s="1508"/>
      <c r="W25" s="1507">
        <v>0</v>
      </c>
      <c r="X25" s="1508"/>
      <c r="Y25" s="657"/>
      <c r="Z25" s="773"/>
    </row>
    <row r="26" spans="1:26" s="658" customFormat="1" ht="19.5" hidden="1" customHeight="1">
      <c r="A26" s="656"/>
      <c r="B26" s="657"/>
      <c r="C26" s="1533" t="s">
        <v>148</v>
      </c>
      <c r="D26" s="1534"/>
      <c r="E26" s="1507">
        <v>0</v>
      </c>
      <c r="F26" s="1508"/>
      <c r="G26" s="1507">
        <v>0</v>
      </c>
      <c r="H26" s="1508"/>
      <c r="I26" s="1507">
        <v>0</v>
      </c>
      <c r="J26" s="1508"/>
      <c r="K26" s="1507">
        <v>0</v>
      </c>
      <c r="L26" s="1508"/>
      <c r="M26" s="1529"/>
      <c r="N26" s="1530"/>
      <c r="O26" s="1507">
        <v>0</v>
      </c>
      <c r="P26" s="1508"/>
      <c r="Q26" s="1507">
        <v>0</v>
      </c>
      <c r="R26" s="1508"/>
      <c r="S26" s="664"/>
      <c r="T26" s="666"/>
      <c r="U26" s="1507">
        <v>0</v>
      </c>
      <c r="V26" s="1508"/>
      <c r="W26" s="1507">
        <v>0</v>
      </c>
      <c r="X26" s="1508"/>
      <c r="Y26" s="657"/>
      <c r="Z26" s="773"/>
    </row>
    <row r="27" spans="1:26" ht="30.75" hidden="1" customHeight="1">
      <c r="A27" s="649"/>
      <c r="B27" s="655"/>
      <c r="C27" s="1533" t="s">
        <v>149</v>
      </c>
      <c r="D27" s="1534"/>
      <c r="E27" s="1507">
        <v>0</v>
      </c>
      <c r="F27" s="1508"/>
      <c r="G27" s="1507">
        <v>0</v>
      </c>
      <c r="H27" s="1508"/>
      <c r="I27" s="1507">
        <v>0</v>
      </c>
      <c r="J27" s="1508"/>
      <c r="K27" s="1507">
        <v>0</v>
      </c>
      <c r="L27" s="1508"/>
      <c r="M27" s="1529"/>
      <c r="N27" s="1530"/>
      <c r="O27" s="1507">
        <v>0</v>
      </c>
      <c r="P27" s="1508"/>
      <c r="Q27" s="1507">
        <v>0</v>
      </c>
      <c r="R27" s="1508"/>
      <c r="S27" s="664"/>
      <c r="T27" s="666"/>
      <c r="U27" s="1507">
        <v>0</v>
      </c>
      <c r="V27" s="1508"/>
      <c r="W27" s="1507">
        <v>0</v>
      </c>
      <c r="X27" s="1508"/>
      <c r="Y27" s="655"/>
    </row>
    <row r="28" spans="1:26" ht="32.25" hidden="1" customHeight="1">
      <c r="A28" s="649"/>
      <c r="B28" s="655"/>
      <c r="C28" s="1525" t="s">
        <v>336</v>
      </c>
      <c r="D28" s="1534"/>
      <c r="E28" s="1507">
        <v>0</v>
      </c>
      <c r="F28" s="1508"/>
      <c r="G28" s="1507">
        <v>0</v>
      </c>
      <c r="H28" s="1508"/>
      <c r="I28" s="1507">
        <v>0</v>
      </c>
      <c r="J28" s="1508"/>
      <c r="K28" s="1507">
        <v>0</v>
      </c>
      <c r="L28" s="1508"/>
      <c r="M28" s="1529"/>
      <c r="N28" s="1530"/>
      <c r="O28" s="1507">
        <v>0</v>
      </c>
      <c r="P28" s="1508"/>
      <c r="Q28" s="1507">
        <v>0</v>
      </c>
      <c r="R28" s="1508"/>
      <c r="S28" s="664"/>
      <c r="T28" s="666"/>
      <c r="U28" s="1507">
        <v>0</v>
      </c>
      <c r="V28" s="1508"/>
      <c r="W28" s="1507">
        <v>0</v>
      </c>
      <c r="X28" s="1508"/>
      <c r="Y28" s="655"/>
    </row>
    <row r="29" spans="1:26" ht="21" hidden="1" customHeight="1">
      <c r="A29" s="649"/>
      <c r="B29" s="655"/>
      <c r="C29" s="1533" t="s">
        <v>119</v>
      </c>
      <c r="D29" s="1534"/>
      <c r="E29" s="1507">
        <v>0</v>
      </c>
      <c r="F29" s="1508"/>
      <c r="G29" s="1507">
        <v>0</v>
      </c>
      <c r="H29" s="1508"/>
      <c r="I29" s="1507">
        <v>0</v>
      </c>
      <c r="J29" s="1508"/>
      <c r="K29" s="1507">
        <v>0</v>
      </c>
      <c r="L29" s="1508"/>
      <c r="M29" s="1529"/>
      <c r="N29" s="1530"/>
      <c r="O29" s="1507">
        <v>0</v>
      </c>
      <c r="P29" s="1508"/>
      <c r="Q29" s="1507">
        <v>0</v>
      </c>
      <c r="R29" s="1508"/>
      <c r="S29" s="664"/>
      <c r="T29" s="666"/>
      <c r="U29" s="1507">
        <v>0</v>
      </c>
      <c r="V29" s="1508"/>
      <c r="W29" s="1507">
        <v>0</v>
      </c>
      <c r="X29" s="1508"/>
      <c r="Y29" s="655"/>
    </row>
    <row r="30" spans="1:26" ht="26.25" hidden="1" customHeight="1">
      <c r="A30" s="649"/>
      <c r="B30" s="655"/>
      <c r="C30" s="1527" t="str">
        <f>'Earning- Salary'!A47</f>
        <v>Other Deduction</v>
      </c>
      <c r="D30" s="1528"/>
      <c r="E30" s="1531">
        <f>'Earning- Salary'!N47</f>
        <v>0</v>
      </c>
      <c r="F30" s="1532"/>
      <c r="G30" s="1507">
        <v>0</v>
      </c>
      <c r="H30" s="1508"/>
      <c r="I30" s="1507">
        <v>0</v>
      </c>
      <c r="J30" s="1508"/>
      <c r="K30" s="1507">
        <v>0</v>
      </c>
      <c r="L30" s="1508"/>
      <c r="M30" s="1529"/>
      <c r="N30" s="1530"/>
      <c r="O30" s="1507">
        <v>0</v>
      </c>
      <c r="P30" s="1508"/>
      <c r="Q30" s="1507">
        <v>0</v>
      </c>
      <c r="R30" s="1508"/>
      <c r="S30" s="664"/>
      <c r="T30" s="666"/>
      <c r="U30" s="1507">
        <v>0</v>
      </c>
      <c r="V30" s="1508"/>
      <c r="W30" s="1507">
        <v>0</v>
      </c>
      <c r="X30" s="1508"/>
      <c r="Y30" s="655"/>
    </row>
    <row r="31" spans="1:26" ht="30.75" hidden="1" customHeight="1">
      <c r="A31" s="649"/>
      <c r="B31" s="655"/>
      <c r="C31" s="1525" t="s">
        <v>201</v>
      </c>
      <c r="D31" s="1534"/>
      <c r="E31" s="1523">
        <f>'Other than Salary Income'!U43</f>
        <v>0</v>
      </c>
      <c r="F31" s="1524"/>
      <c r="G31" s="1507">
        <v>0</v>
      </c>
      <c r="H31" s="1508"/>
      <c r="I31" s="1507">
        <v>0</v>
      </c>
      <c r="J31" s="1508"/>
      <c r="K31" s="1507">
        <v>0</v>
      </c>
      <c r="L31" s="1508"/>
      <c r="M31" s="1507">
        <v>0</v>
      </c>
      <c r="N31" s="1508"/>
      <c r="O31" s="1507">
        <v>0</v>
      </c>
      <c r="P31" s="1508"/>
      <c r="Q31" s="1507">
        <v>0</v>
      </c>
      <c r="R31" s="1508"/>
      <c r="S31" s="670"/>
      <c r="T31" s="671"/>
      <c r="U31" s="1507">
        <v>0</v>
      </c>
      <c r="V31" s="1508"/>
      <c r="W31" s="1507">
        <v>0</v>
      </c>
      <c r="X31" s="1508"/>
      <c r="Y31" s="655"/>
    </row>
    <row r="32" spans="1:26" ht="21" hidden="1" customHeight="1">
      <c r="A32" s="672"/>
      <c r="B32" s="673"/>
      <c r="C32" s="1525" t="s">
        <v>70</v>
      </c>
      <c r="D32" s="1526"/>
      <c r="E32" s="1523">
        <f>SUM(E11:F31)-(E29+E30)</f>
        <v>885634</v>
      </c>
      <c r="F32" s="1524"/>
      <c r="G32" s="1523">
        <f>SUM(G11:H31)</f>
        <v>2400</v>
      </c>
      <c r="H32" s="1524"/>
      <c r="I32" s="1523">
        <f>SUM(I11:J31)</f>
        <v>120</v>
      </c>
      <c r="J32" s="1524"/>
      <c r="K32" s="1523">
        <f>SUM(K11:L31)</f>
        <v>24000</v>
      </c>
      <c r="L32" s="1524"/>
      <c r="M32" s="1523">
        <f>SUM(M11:N31)</f>
        <v>4800</v>
      </c>
      <c r="N32" s="1524"/>
      <c r="O32" s="1523">
        <f>SUM(O11:P31)+M95</f>
        <v>0</v>
      </c>
      <c r="P32" s="1524"/>
      <c r="Q32" s="1523">
        <f>SUM(Q11:R31)+M96</f>
        <v>0</v>
      </c>
      <c r="R32" s="1524"/>
      <c r="S32" s="660">
        <f>SUM(S11:S31)</f>
        <v>0</v>
      </c>
      <c r="T32" s="660">
        <f>SUM(T11:T31)</f>
        <v>0</v>
      </c>
      <c r="U32" s="1523">
        <f>SUM(U11:V31)+M97</f>
        <v>0</v>
      </c>
      <c r="V32" s="1524"/>
      <c r="W32" s="1523">
        <f>SUM(W11:X19)+W20+W21+W22+W23+W24+W25+W26+W27+W28+W29+W30+W31</f>
        <v>33000</v>
      </c>
      <c r="X32" s="1524"/>
      <c r="Y32" s="655"/>
    </row>
    <row r="33" spans="1:26" s="677" customFormat="1" ht="5.25" hidden="1" customHeight="1">
      <c r="A33" s="672"/>
      <c r="B33" s="673"/>
      <c r="C33" s="674"/>
      <c r="D33" s="675"/>
      <c r="E33" s="676"/>
      <c r="F33" s="676"/>
      <c r="G33" s="676"/>
      <c r="H33" s="676"/>
      <c r="I33" s="676"/>
      <c r="J33" s="676"/>
      <c r="K33" s="676"/>
      <c r="L33" s="676"/>
      <c r="M33" s="676"/>
      <c r="N33" s="676"/>
      <c r="O33" s="676"/>
      <c r="P33" s="676"/>
      <c r="Q33" s="676"/>
      <c r="R33" s="676"/>
      <c r="S33" s="676"/>
      <c r="T33" s="676"/>
      <c r="U33" s="676"/>
      <c r="V33" s="676"/>
      <c r="W33" s="676"/>
      <c r="X33" s="676"/>
      <c r="Y33" s="655"/>
      <c r="Z33" s="767"/>
    </row>
    <row r="34" spans="1:26" ht="21" hidden="1" customHeight="1">
      <c r="A34" s="649"/>
      <c r="B34" s="655"/>
      <c r="C34" s="713" t="s">
        <v>284</v>
      </c>
      <c r="D34" s="655"/>
      <c r="E34" s="686"/>
      <c r="F34" s="686"/>
      <c r="G34" s="686"/>
      <c r="H34" s="686"/>
      <c r="I34" s="686"/>
      <c r="J34" s="686"/>
      <c r="K34" s="686"/>
      <c r="L34" s="686"/>
      <c r="M34" s="686"/>
      <c r="N34" s="686"/>
      <c r="O34" s="686"/>
      <c r="P34" s="686"/>
      <c r="Q34" s="714"/>
      <c r="R34" s="714"/>
      <c r="S34" s="714"/>
      <c r="T34" s="714"/>
      <c r="U34" s="714"/>
      <c r="V34" s="655"/>
      <c r="W34" s="655"/>
      <c r="X34" s="655"/>
      <c r="Y34" s="655"/>
    </row>
    <row r="35" spans="1:26" ht="21" hidden="1" customHeight="1">
      <c r="A35" s="649"/>
      <c r="B35" s="649"/>
      <c r="C35" s="715">
        <v>1</v>
      </c>
      <c r="D35" s="716" t="s">
        <v>10</v>
      </c>
      <c r="E35" s="717"/>
      <c r="F35" s="717"/>
      <c r="G35" s="717"/>
      <c r="H35" s="717"/>
      <c r="I35" s="717"/>
      <c r="J35" s="717"/>
      <c r="K35" s="717"/>
      <c r="L35" s="717"/>
      <c r="M35" s="717"/>
      <c r="N35" s="717"/>
      <c r="O35" s="717"/>
      <c r="P35" s="717"/>
      <c r="Q35" s="717"/>
      <c r="R35" s="717"/>
      <c r="S35" s="717"/>
      <c r="T35" s="718"/>
      <c r="U35" s="1486">
        <v>0</v>
      </c>
      <c r="V35" s="1487"/>
      <c r="W35" s="1488"/>
      <c r="X35" s="649"/>
      <c r="Y35" s="649"/>
    </row>
    <row r="36" spans="1:26" ht="21" hidden="1" customHeight="1">
      <c r="A36" s="649"/>
      <c r="B36" s="649"/>
      <c r="C36" s="715">
        <v>2</v>
      </c>
      <c r="D36" s="716" t="s">
        <v>120</v>
      </c>
      <c r="E36" s="717"/>
      <c r="F36" s="717"/>
      <c r="G36" s="717"/>
      <c r="H36" s="717"/>
      <c r="I36" s="194" t="s">
        <v>363</v>
      </c>
      <c r="J36" s="194"/>
      <c r="K36" s="194"/>
      <c r="L36" s="194"/>
      <c r="M36" s="194"/>
      <c r="N36" s="194"/>
      <c r="O36" s="194"/>
      <c r="P36" s="194"/>
      <c r="Q36" s="717"/>
      <c r="R36" s="717"/>
      <c r="S36" s="717"/>
      <c r="T36" s="719"/>
      <c r="U36" s="1486">
        <v>0</v>
      </c>
      <c r="V36" s="1487"/>
      <c r="W36" s="1488"/>
      <c r="X36" s="649"/>
      <c r="Y36" s="649"/>
    </row>
    <row r="37" spans="1:26" ht="21" hidden="1" customHeight="1">
      <c r="A37" s="649"/>
      <c r="B37" s="649"/>
      <c r="C37" s="715">
        <v>3</v>
      </c>
      <c r="D37" s="716" t="s">
        <v>121</v>
      </c>
      <c r="E37" s="717"/>
      <c r="F37" s="717"/>
      <c r="G37" s="717"/>
      <c r="H37" s="717"/>
      <c r="I37" s="717"/>
      <c r="J37" s="717"/>
      <c r="K37" s="717"/>
      <c r="L37" s="717"/>
      <c r="M37" s="717"/>
      <c r="N37" s="717"/>
      <c r="O37" s="717"/>
      <c r="P37" s="717"/>
      <c r="Q37" s="717"/>
      <c r="R37" s="717"/>
      <c r="S37" s="717"/>
      <c r="T37" s="718"/>
      <c r="U37" s="1486">
        <v>0</v>
      </c>
      <c r="V37" s="1487"/>
      <c r="W37" s="1488"/>
      <c r="X37" s="649"/>
      <c r="Y37" s="649"/>
    </row>
    <row r="38" spans="1:26" ht="21" hidden="1" customHeight="1">
      <c r="A38" s="649"/>
      <c r="B38" s="649"/>
      <c r="C38" s="715">
        <v>4</v>
      </c>
      <c r="D38" s="716" t="s">
        <v>122</v>
      </c>
      <c r="E38" s="717"/>
      <c r="F38" s="717"/>
      <c r="G38" s="717"/>
      <c r="H38" s="717"/>
      <c r="I38" s="717"/>
      <c r="J38" s="717"/>
      <c r="K38" s="717"/>
      <c r="L38" s="717"/>
      <c r="M38" s="717"/>
      <c r="N38" s="717"/>
      <c r="O38" s="717"/>
      <c r="P38" s="717"/>
      <c r="Q38" s="717"/>
      <c r="R38" s="717"/>
      <c r="S38" s="717"/>
      <c r="T38" s="718"/>
      <c r="U38" s="1486">
        <v>0</v>
      </c>
      <c r="V38" s="1487"/>
      <c r="W38" s="1488"/>
      <c r="X38" s="720"/>
      <c r="Y38" s="649"/>
    </row>
    <row r="39" spans="1:26" ht="21" hidden="1" customHeight="1">
      <c r="A39" s="649"/>
      <c r="B39" s="649"/>
      <c r="C39" s="715">
        <v>5</v>
      </c>
      <c r="D39" s="716" t="s">
        <v>378</v>
      </c>
      <c r="E39" s="717"/>
      <c r="F39" s="717"/>
      <c r="G39" s="717"/>
      <c r="H39" s="717"/>
      <c r="I39" s="721"/>
      <c r="J39" s="721"/>
      <c r="K39" s="721"/>
      <c r="L39" s="721"/>
      <c r="M39" s="717"/>
      <c r="N39" s="717" t="s">
        <v>382</v>
      </c>
      <c r="O39" s="717"/>
      <c r="P39" s="717"/>
      <c r="Q39" s="717"/>
      <c r="R39" s="717"/>
      <c r="S39" s="717"/>
      <c r="T39" s="718"/>
      <c r="U39" s="1518">
        <v>0</v>
      </c>
      <c r="V39" s="1519"/>
      <c r="W39" s="1520"/>
      <c r="X39" s="722"/>
      <c r="Y39" s="722"/>
    </row>
    <row r="40" spans="1:26" ht="21" hidden="1" customHeight="1">
      <c r="A40" s="649"/>
      <c r="B40" s="649"/>
      <c r="C40" s="715">
        <v>6</v>
      </c>
      <c r="D40" s="716" t="s">
        <v>379</v>
      </c>
      <c r="E40" s="717"/>
      <c r="F40" s="717"/>
      <c r="G40" s="717"/>
      <c r="H40" s="717"/>
      <c r="I40" s="723" t="s">
        <v>443</v>
      </c>
      <c r="J40" s="724"/>
      <c r="K40" s="725"/>
      <c r="L40" s="726"/>
      <c r="M40" s="695" t="s">
        <v>441</v>
      </c>
      <c r="N40" s="717" t="s">
        <v>383</v>
      </c>
      <c r="O40" s="717"/>
      <c r="P40" s="717"/>
      <c r="Q40" s="717"/>
      <c r="R40" s="717"/>
      <c r="S40" s="717"/>
      <c r="T40" s="718"/>
      <c r="U40" s="1518">
        <v>0</v>
      </c>
      <c r="V40" s="1519"/>
      <c r="W40" s="1520"/>
      <c r="X40" s="720">
        <f>IF(M40="Yes",0,IF(AND(U40&gt;=1,U40&lt;300000),U40,U40-300000))</f>
        <v>0</v>
      </c>
      <c r="Y40" s="722"/>
    </row>
    <row r="41" spans="1:26" ht="21" hidden="1" customHeight="1">
      <c r="A41" s="649"/>
      <c r="B41" s="649"/>
      <c r="C41" s="715">
        <v>7</v>
      </c>
      <c r="D41" s="716" t="s">
        <v>373</v>
      </c>
      <c r="E41" s="717"/>
      <c r="F41" s="717"/>
      <c r="G41" s="717"/>
      <c r="H41" s="717"/>
      <c r="I41" s="727"/>
      <c r="J41" s="727"/>
      <c r="K41" s="727"/>
      <c r="L41" s="727"/>
      <c r="M41" s="717"/>
      <c r="N41" s="717" t="s">
        <v>384</v>
      </c>
      <c r="O41" s="717"/>
      <c r="P41" s="717"/>
      <c r="Q41" s="717"/>
      <c r="R41" s="717"/>
      <c r="S41" s="717"/>
      <c r="T41" s="718"/>
      <c r="U41" s="1518">
        <v>0</v>
      </c>
      <c r="V41" s="1519"/>
      <c r="W41" s="1520"/>
      <c r="X41" s="722"/>
      <c r="Y41" s="722"/>
    </row>
    <row r="42" spans="1:26" ht="21" hidden="1" customHeight="1">
      <c r="A42" s="649"/>
      <c r="B42" s="649"/>
      <c r="C42" s="715">
        <v>8</v>
      </c>
      <c r="D42" s="716" t="s">
        <v>374</v>
      </c>
      <c r="E42" s="717"/>
      <c r="F42" s="717"/>
      <c r="G42" s="717"/>
      <c r="H42" s="717"/>
      <c r="I42" s="717"/>
      <c r="J42" s="717"/>
      <c r="K42" s="717"/>
      <c r="L42" s="717"/>
      <c r="M42" s="717"/>
      <c r="N42" s="426" t="s">
        <v>385</v>
      </c>
      <c r="O42" s="717"/>
      <c r="P42" s="717"/>
      <c r="Q42" s="717"/>
      <c r="R42" s="717"/>
      <c r="S42" s="717"/>
      <c r="T42" s="654"/>
      <c r="U42" s="1518">
        <v>0</v>
      </c>
      <c r="V42" s="1519"/>
      <c r="W42" s="1520"/>
      <c r="X42" s="649"/>
      <c r="Y42" s="649"/>
    </row>
    <row r="43" spans="1:26" ht="21" hidden="1" customHeight="1">
      <c r="A43" s="649"/>
      <c r="B43" s="649"/>
      <c r="C43" s="715">
        <v>5</v>
      </c>
      <c r="D43" s="716" t="s">
        <v>283</v>
      </c>
      <c r="E43" s="717"/>
      <c r="F43" s="717"/>
      <c r="G43" s="717"/>
      <c r="H43" s="717"/>
      <c r="I43" s="717"/>
      <c r="J43" s="717"/>
      <c r="K43" s="717"/>
      <c r="L43" s="717"/>
      <c r="M43" s="717"/>
      <c r="N43" s="717"/>
      <c r="O43" s="717"/>
      <c r="P43" s="717"/>
      <c r="Q43" s="717"/>
      <c r="R43" s="717"/>
      <c r="S43" s="717"/>
      <c r="T43" s="728"/>
      <c r="U43" s="1486">
        <v>0</v>
      </c>
      <c r="V43" s="1487"/>
      <c r="W43" s="1488"/>
      <c r="X43" s="649"/>
      <c r="Y43" s="649"/>
    </row>
    <row r="44" spans="1:26" ht="2.25" customHeight="1">
      <c r="A44" s="672"/>
      <c r="B44" s="672"/>
      <c r="C44" s="17"/>
      <c r="D44" s="672"/>
      <c r="E44" s="672"/>
      <c r="F44" s="672"/>
      <c r="G44" s="672"/>
      <c r="H44" s="672"/>
      <c r="I44" s="672"/>
      <c r="J44" s="672"/>
      <c r="K44" s="672"/>
      <c r="L44" s="672"/>
      <c r="M44" s="672"/>
      <c r="N44" s="672"/>
      <c r="O44" s="672"/>
      <c r="P44" s="672"/>
      <c r="Q44" s="672"/>
      <c r="R44" s="672"/>
      <c r="S44" s="672"/>
      <c r="T44" s="672"/>
      <c r="U44" s="672"/>
      <c r="V44" s="672"/>
      <c r="W44" s="672"/>
      <c r="X44" s="672"/>
      <c r="Y44" s="649"/>
    </row>
    <row r="45" spans="1:26" ht="21" customHeight="1">
      <c r="A45" s="655"/>
      <c r="B45" s="655"/>
      <c r="C45" s="353" t="s">
        <v>113</v>
      </c>
      <c r="D45" s="655"/>
      <c r="E45" s="655"/>
      <c r="F45" s="655"/>
      <c r="G45" s="655"/>
      <c r="H45" s="655"/>
      <c r="I45" s="655"/>
      <c r="J45" s="655"/>
      <c r="K45" s="655"/>
      <c r="L45" s="655"/>
      <c r="M45" s="655"/>
      <c r="N45" s="655"/>
      <c r="O45" s="655"/>
      <c r="P45" s="655"/>
      <c r="Q45" s="655"/>
      <c r="R45" s="655"/>
      <c r="S45" s="655"/>
      <c r="T45" s="655"/>
      <c r="U45" s="655"/>
      <c r="V45" s="655"/>
      <c r="W45" s="655"/>
      <c r="X45" s="655"/>
      <c r="Y45" s="655"/>
      <c r="Z45" s="767"/>
    </row>
    <row r="46" spans="1:26" ht="21" customHeight="1">
      <c r="A46" s="767"/>
      <c r="B46" s="767"/>
      <c r="C46" s="939">
        <v>1</v>
      </c>
      <c r="D46" s="940" t="s">
        <v>112</v>
      </c>
      <c r="E46" s="940"/>
      <c r="F46" s="940"/>
      <c r="G46" s="940"/>
      <c r="H46" s="940"/>
      <c r="I46" s="940"/>
      <c r="J46" s="940"/>
      <c r="K46" s="940"/>
      <c r="L46" s="940"/>
      <c r="M46" s="940"/>
      <c r="N46" s="940"/>
      <c r="O46" s="940"/>
      <c r="P46" s="940"/>
      <c r="Q46" s="940"/>
      <c r="R46" s="940"/>
      <c r="S46" s="940"/>
      <c r="T46" s="941"/>
      <c r="U46" s="1521"/>
      <c r="V46" s="1521"/>
      <c r="W46" s="1521"/>
      <c r="X46" s="942"/>
      <c r="Y46" s="655"/>
      <c r="Z46" s="767"/>
    </row>
    <row r="47" spans="1:26" ht="21" customHeight="1">
      <c r="A47" s="649"/>
      <c r="B47" s="649"/>
      <c r="C47" s="1085">
        <v>1</v>
      </c>
      <c r="D47" s="1489" t="s">
        <v>21</v>
      </c>
      <c r="E47" s="1490"/>
      <c r="F47" s="1490"/>
      <c r="G47" s="1087" t="s">
        <v>356</v>
      </c>
      <c r="H47" s="1087"/>
      <c r="I47" s="1087"/>
      <c r="J47" s="1087"/>
      <c r="K47" s="1087"/>
      <c r="L47" s="1087"/>
      <c r="M47" s="1087" t="s">
        <v>462</v>
      </c>
      <c r="N47" s="1087"/>
      <c r="O47" s="658"/>
      <c r="P47" s="1087"/>
      <c r="Q47" s="1086"/>
      <c r="R47" s="1087"/>
      <c r="S47" s="1088" t="s">
        <v>327</v>
      </c>
      <c r="T47" s="1089"/>
      <c r="U47" s="1493">
        <v>0</v>
      </c>
      <c r="V47" s="1494"/>
      <c r="W47" s="1495"/>
      <c r="X47" s="649"/>
      <c r="Y47" s="649"/>
    </row>
    <row r="48" spans="1:26" ht="21" customHeight="1">
      <c r="A48" s="649"/>
      <c r="B48" s="649"/>
      <c r="C48" s="1090"/>
      <c r="D48" s="1091" t="s">
        <v>357</v>
      </c>
      <c r="E48" s="1092"/>
      <c r="F48" s="1092"/>
      <c r="G48" s="1093"/>
      <c r="H48" s="1093"/>
      <c r="I48" s="1093"/>
      <c r="J48" s="1093"/>
      <c r="K48" s="1093"/>
      <c r="L48" s="1093"/>
      <c r="M48" s="1094" t="s">
        <v>521</v>
      </c>
      <c r="N48" s="1093"/>
      <c r="O48" s="658"/>
      <c r="P48" s="1093"/>
      <c r="Q48" s="1092"/>
      <c r="R48" s="1093"/>
      <c r="S48" s="1095" t="s">
        <v>409</v>
      </c>
      <c r="T48" s="1096"/>
      <c r="U48" s="1522"/>
      <c r="V48" s="1496"/>
      <c r="W48" s="1497"/>
      <c r="X48" s="649"/>
      <c r="Y48" s="649"/>
    </row>
    <row r="49" spans="1:37" ht="21" customHeight="1">
      <c r="A49" s="649"/>
      <c r="B49" s="649"/>
      <c r="C49" s="1085">
        <v>2</v>
      </c>
      <c r="D49" s="1489" t="s">
        <v>21</v>
      </c>
      <c r="E49" s="1490"/>
      <c r="F49" s="1490"/>
      <c r="G49" s="1087" t="s">
        <v>355</v>
      </c>
      <c r="H49" s="1087"/>
      <c r="I49" s="1087"/>
      <c r="J49" s="1087"/>
      <c r="K49" s="1087"/>
      <c r="L49" s="1087"/>
      <c r="M49" s="1087" t="s">
        <v>462</v>
      </c>
      <c r="N49" s="1087"/>
      <c r="O49" s="658"/>
      <c r="P49" s="1087"/>
      <c r="Q49" s="1087"/>
      <c r="R49" s="1097"/>
      <c r="S49" s="1098">
        <f>SEARCH("R",S50)</f>
        <v>5</v>
      </c>
      <c r="T49" s="1097"/>
      <c r="U49" s="1493">
        <v>0</v>
      </c>
      <c r="V49" s="1494"/>
      <c r="W49" s="1495"/>
      <c r="X49" s="649"/>
      <c r="Y49" s="649"/>
    </row>
    <row r="50" spans="1:37" ht="21" customHeight="1">
      <c r="A50" s="649"/>
      <c r="B50" s="649"/>
      <c r="C50" s="1099"/>
      <c r="D50" s="1091" t="s">
        <v>358</v>
      </c>
      <c r="E50" s="1092"/>
      <c r="F50" s="1092"/>
      <c r="G50" s="1093"/>
      <c r="H50" s="1093"/>
      <c r="I50" s="1093"/>
      <c r="J50" s="1093"/>
      <c r="K50" s="1093"/>
      <c r="L50" s="1093"/>
      <c r="M50" s="1094" t="s">
        <v>521</v>
      </c>
      <c r="N50" s="1093"/>
      <c r="O50" s="658"/>
      <c r="P50" s="1094"/>
      <c r="Q50" s="1094"/>
      <c r="R50" s="1094"/>
      <c r="S50" s="1498" t="s">
        <v>409</v>
      </c>
      <c r="T50" s="1499"/>
      <c r="U50" s="1496"/>
      <c r="V50" s="1496"/>
      <c r="W50" s="1497"/>
      <c r="X50" s="649"/>
      <c r="Y50" s="649"/>
    </row>
    <row r="51" spans="1:37" ht="21" customHeight="1">
      <c r="A51" s="649"/>
      <c r="B51" s="649"/>
      <c r="C51" s="730">
        <v>3</v>
      </c>
      <c r="D51" s="1484" t="s">
        <v>28</v>
      </c>
      <c r="E51" s="1485"/>
      <c r="F51" s="1485"/>
      <c r="G51" s="717" t="s">
        <v>29</v>
      </c>
      <c r="H51" s="717"/>
      <c r="I51" s="717"/>
      <c r="J51" s="717"/>
      <c r="K51" s="717"/>
      <c r="L51" s="717"/>
      <c r="M51" s="717"/>
      <c r="N51" s="717"/>
      <c r="O51" s="717" t="s">
        <v>453</v>
      </c>
      <c r="P51" s="717"/>
      <c r="Q51" s="717"/>
      <c r="R51" s="717"/>
      <c r="S51" s="727"/>
      <c r="T51" s="729"/>
      <c r="U51" s="1486">
        <v>0</v>
      </c>
      <c r="V51" s="1487"/>
      <c r="W51" s="1488"/>
      <c r="X51" s="649"/>
      <c r="Y51" s="649"/>
      <c r="AA51" s="649"/>
      <c r="AB51" s="649"/>
      <c r="AC51" s="649"/>
      <c r="AD51" s="649"/>
      <c r="AE51" s="649"/>
      <c r="AF51" s="649"/>
      <c r="AG51" s="649"/>
      <c r="AH51" s="649"/>
      <c r="AI51" s="649"/>
      <c r="AJ51" s="649"/>
      <c r="AK51" s="649"/>
    </row>
    <row r="52" spans="1:37" ht="21" customHeight="1">
      <c r="A52" s="649"/>
      <c r="B52" s="649"/>
      <c r="C52" s="715">
        <v>4</v>
      </c>
      <c r="D52" s="1484" t="s">
        <v>451</v>
      </c>
      <c r="E52" s="1485"/>
      <c r="F52" s="1485"/>
      <c r="G52" s="717" t="s">
        <v>11</v>
      </c>
      <c r="H52" s="717"/>
      <c r="I52" s="717"/>
      <c r="J52" s="717"/>
      <c r="K52" s="717"/>
      <c r="L52" s="717"/>
      <c r="M52" s="717"/>
      <c r="N52" s="717"/>
      <c r="O52" s="717" t="s">
        <v>282</v>
      </c>
      <c r="P52" s="717"/>
      <c r="Q52" s="717"/>
      <c r="R52" s="717"/>
      <c r="S52" s="717"/>
      <c r="T52" s="718"/>
      <c r="U52" s="1486">
        <v>0</v>
      </c>
      <c r="V52" s="1487"/>
      <c r="W52" s="1488"/>
      <c r="X52" s="649"/>
      <c r="Y52" s="649"/>
      <c r="AA52" s="649"/>
      <c r="AB52" s="649"/>
      <c r="AC52" s="649"/>
      <c r="AD52" s="649"/>
      <c r="AE52" s="649"/>
      <c r="AF52" s="649"/>
      <c r="AG52" s="649"/>
      <c r="AH52" s="649"/>
      <c r="AI52" s="649"/>
      <c r="AJ52" s="649"/>
      <c r="AK52" s="649"/>
    </row>
    <row r="53" spans="1:37" ht="21" customHeight="1">
      <c r="A53" s="649"/>
      <c r="B53" s="649"/>
      <c r="C53" s="732">
        <v>5</v>
      </c>
      <c r="D53" s="1491" t="s">
        <v>190</v>
      </c>
      <c r="E53" s="1492"/>
      <c r="F53" s="1492"/>
      <c r="G53" s="734" t="s">
        <v>281</v>
      </c>
      <c r="H53" s="734"/>
      <c r="I53" s="734"/>
      <c r="J53" s="734"/>
      <c r="K53" s="734"/>
      <c r="L53" s="734"/>
      <c r="M53" s="734"/>
      <c r="N53" s="734"/>
      <c r="O53" s="734" t="s">
        <v>467</v>
      </c>
      <c r="P53" s="734"/>
      <c r="Q53" s="734"/>
      <c r="R53" s="734"/>
      <c r="S53" s="734"/>
      <c r="T53" s="735"/>
      <c r="U53" s="1511">
        <v>0</v>
      </c>
      <c r="V53" s="1512"/>
      <c r="W53" s="1513"/>
      <c r="X53" s="736"/>
      <c r="Y53" s="722"/>
      <c r="AA53" s="1517"/>
      <c r="AB53" s="1517"/>
      <c r="AC53" s="1517"/>
      <c r="AD53" s="1517"/>
      <c r="AE53" s="649"/>
      <c r="AF53" s="649"/>
      <c r="AG53" s="649"/>
      <c r="AH53" s="649"/>
      <c r="AI53" s="649"/>
      <c r="AJ53" s="649"/>
      <c r="AK53" s="649"/>
    </row>
    <row r="54" spans="1:37" ht="21" customHeight="1">
      <c r="A54" s="649"/>
      <c r="B54" s="649"/>
      <c r="C54" s="737" t="s">
        <v>465</v>
      </c>
      <c r="D54" s="738"/>
      <c r="E54" s="739"/>
      <c r="F54" s="733"/>
      <c r="G54" s="734"/>
      <c r="H54" s="734"/>
      <c r="I54" s="734"/>
      <c r="J54" s="734"/>
      <c r="K54" s="734"/>
      <c r="L54" s="734"/>
      <c r="M54" s="740">
        <v>85</v>
      </c>
      <c r="N54" s="741" t="s">
        <v>307</v>
      </c>
      <c r="O54" s="734" t="s">
        <v>466</v>
      </c>
      <c r="P54" s="734"/>
      <c r="Q54" s="734"/>
      <c r="R54" s="734"/>
      <c r="S54" s="734"/>
      <c r="T54" s="739"/>
      <c r="U54" s="1509">
        <f>IF(U53&lt;X54,U53,X54)</f>
        <v>0</v>
      </c>
      <c r="V54" s="1509"/>
      <c r="W54" s="1510"/>
      <c r="X54" s="742">
        <f>IF(M54&lt;80,75000,125000)</f>
        <v>125000</v>
      </c>
      <c r="Y54" s="693"/>
      <c r="AA54" s="672"/>
      <c r="AB54" s="649"/>
      <c r="AC54" s="649"/>
      <c r="AD54" s="649"/>
      <c r="AE54" s="649"/>
      <c r="AF54" s="649"/>
      <c r="AG54" s="649"/>
      <c r="AH54" s="649"/>
      <c r="AI54" s="649"/>
      <c r="AJ54" s="649"/>
      <c r="AK54" s="649"/>
    </row>
    <row r="55" spans="1:37" ht="21" customHeight="1">
      <c r="A55" s="649"/>
      <c r="B55" s="649"/>
      <c r="C55" s="715">
        <v>6</v>
      </c>
      <c r="D55" s="1482" t="s">
        <v>7</v>
      </c>
      <c r="E55" s="1483"/>
      <c r="F55" s="743" t="s">
        <v>8</v>
      </c>
      <c r="G55" s="744" t="s">
        <v>417</v>
      </c>
      <c r="H55" s="744"/>
      <c r="I55" s="744"/>
      <c r="J55" s="744"/>
      <c r="K55" s="744"/>
      <c r="L55" s="744"/>
      <c r="M55" s="744"/>
      <c r="N55" s="744"/>
      <c r="O55" s="717" t="s">
        <v>338</v>
      </c>
      <c r="P55" s="744"/>
      <c r="Q55" s="744"/>
      <c r="R55" s="744"/>
      <c r="S55" s="744"/>
      <c r="T55" s="718"/>
      <c r="U55" s="1486">
        <v>0</v>
      </c>
      <c r="V55" s="1487"/>
      <c r="W55" s="1488"/>
      <c r="X55" s="649"/>
      <c r="Y55" s="649"/>
      <c r="AA55" s="649"/>
      <c r="AB55" s="649"/>
      <c r="AC55" s="649"/>
      <c r="AD55" s="649"/>
      <c r="AE55" s="649"/>
      <c r="AF55" s="649"/>
      <c r="AG55" s="649"/>
      <c r="AH55" s="649"/>
      <c r="AI55" s="649"/>
      <c r="AJ55" s="649"/>
      <c r="AK55" s="649"/>
    </row>
    <row r="56" spans="1:37" ht="21" customHeight="1">
      <c r="A56" s="649"/>
      <c r="B56" s="649"/>
      <c r="C56" s="715">
        <v>7</v>
      </c>
      <c r="D56" s="1484" t="s">
        <v>191</v>
      </c>
      <c r="E56" s="1485"/>
      <c r="F56" s="1485"/>
      <c r="G56" s="717"/>
      <c r="H56" s="745"/>
      <c r="I56" s="745"/>
      <c r="J56" s="745"/>
      <c r="K56" s="745"/>
      <c r="L56" s="745"/>
      <c r="M56" s="833">
        <f>U56</f>
        <v>0</v>
      </c>
      <c r="N56" s="717"/>
      <c r="O56" s="717" t="s">
        <v>339</v>
      </c>
      <c r="P56" s="717"/>
      <c r="Q56" s="717"/>
      <c r="R56" s="717"/>
      <c r="S56" s="717"/>
      <c r="T56" s="718"/>
      <c r="U56" s="1486">
        <v>0</v>
      </c>
      <c r="V56" s="1487"/>
      <c r="W56" s="1488"/>
      <c r="X56" s="649"/>
      <c r="Y56" s="649"/>
    </row>
    <row r="57" spans="1:37" ht="21" customHeight="1">
      <c r="A57" s="649"/>
      <c r="B57" s="649"/>
      <c r="C57" s="715">
        <v>8</v>
      </c>
      <c r="D57" s="716" t="s">
        <v>192</v>
      </c>
      <c r="E57" s="717"/>
      <c r="F57" s="717"/>
      <c r="G57" s="744"/>
      <c r="H57" s="124"/>
      <c r="I57" s="124"/>
      <c r="J57" s="124"/>
      <c r="K57" s="124"/>
      <c r="L57" s="124"/>
      <c r="M57" s="834">
        <f>ROUND(U57/2,0)</f>
        <v>0</v>
      </c>
      <c r="N57" s="744"/>
      <c r="O57" s="717" t="s">
        <v>340</v>
      </c>
      <c r="P57" s="744"/>
      <c r="Q57" s="744"/>
      <c r="R57" s="744"/>
      <c r="S57" s="744"/>
      <c r="T57" s="718"/>
      <c r="U57" s="1486">
        <v>0</v>
      </c>
      <c r="V57" s="1487"/>
      <c r="W57" s="1488"/>
      <c r="X57" s="649"/>
      <c r="Y57" s="649"/>
    </row>
    <row r="58" spans="1:37" ht="21" customHeight="1">
      <c r="A58" s="649"/>
      <c r="B58" s="649"/>
      <c r="C58" s="715">
        <v>9</v>
      </c>
      <c r="D58" s="717" t="s">
        <v>193</v>
      </c>
      <c r="E58" s="717"/>
      <c r="F58" s="717"/>
      <c r="G58" s="55"/>
      <c r="H58" s="124"/>
      <c r="I58" s="124"/>
      <c r="J58" s="124"/>
      <c r="K58" s="124"/>
      <c r="L58" s="124"/>
      <c r="M58" s="834">
        <f>ROUND(U58*0.4,0)</f>
        <v>0</v>
      </c>
      <c r="N58" s="55"/>
      <c r="O58" s="717" t="s">
        <v>341</v>
      </c>
      <c r="P58" s="55"/>
      <c r="Q58" s="55"/>
      <c r="R58" s="55"/>
      <c r="S58" s="55"/>
      <c r="T58" s="718"/>
      <c r="U58" s="1486">
        <v>0</v>
      </c>
      <c r="V58" s="1487"/>
      <c r="W58" s="1488"/>
      <c r="X58" s="649"/>
      <c r="Y58" s="649"/>
    </row>
    <row r="59" spans="1:37" ht="21" customHeight="1">
      <c r="A59" s="649"/>
      <c r="B59" s="649"/>
      <c r="C59" s="715">
        <v>10</v>
      </c>
      <c r="D59" s="717" t="s">
        <v>194</v>
      </c>
      <c r="E59" s="717"/>
      <c r="F59" s="717"/>
      <c r="G59" s="55"/>
      <c r="H59" s="55"/>
      <c r="I59" s="55"/>
      <c r="J59" s="55"/>
      <c r="K59" s="55"/>
      <c r="L59" s="55"/>
      <c r="M59" s="834">
        <f>ROUND(U59*0.4,0)</f>
        <v>0</v>
      </c>
      <c r="N59" s="55"/>
      <c r="O59" s="717" t="s">
        <v>341</v>
      </c>
      <c r="P59" s="55"/>
      <c r="Q59" s="55"/>
      <c r="R59" s="55"/>
      <c r="S59" s="55"/>
      <c r="T59" s="746"/>
      <c r="U59" s="1486">
        <v>0</v>
      </c>
      <c r="V59" s="1487"/>
      <c r="W59" s="1488"/>
      <c r="X59" s="649"/>
      <c r="Y59" s="649"/>
    </row>
    <row r="60" spans="1:37" ht="21" customHeight="1">
      <c r="A60" s="649"/>
      <c r="B60" s="649"/>
      <c r="C60" s="715">
        <v>11</v>
      </c>
      <c r="D60" s="556" t="s">
        <v>267</v>
      </c>
      <c r="E60" s="717"/>
      <c r="F60" s="717"/>
      <c r="G60" s="55"/>
      <c r="H60" s="124"/>
      <c r="I60" s="124"/>
      <c r="J60" s="124"/>
      <c r="K60" s="124"/>
      <c r="L60" s="124"/>
      <c r="M60" s="124"/>
      <c r="N60" s="55"/>
      <c r="O60" s="717"/>
      <c r="P60" s="55"/>
      <c r="Q60" s="55"/>
      <c r="R60" s="55"/>
      <c r="S60" s="55"/>
      <c r="T60" s="746"/>
      <c r="U60" s="1486">
        <v>0</v>
      </c>
      <c r="V60" s="1487"/>
      <c r="W60" s="1488"/>
      <c r="X60" s="649"/>
      <c r="Y60" s="649"/>
    </row>
    <row r="61" spans="1:37" ht="21" customHeight="1">
      <c r="A61" s="649"/>
      <c r="B61" s="649"/>
      <c r="C61" s="715">
        <v>12</v>
      </c>
      <c r="D61" s="556" t="s">
        <v>426</v>
      </c>
      <c r="E61" s="717"/>
      <c r="F61" s="717"/>
      <c r="G61" s="560" t="s">
        <v>428</v>
      </c>
      <c r="H61" s="124"/>
      <c r="I61" s="124"/>
      <c r="J61" s="124"/>
      <c r="K61" s="124"/>
      <c r="L61" s="124"/>
      <c r="M61" s="124"/>
      <c r="N61" s="55"/>
      <c r="O61" s="717"/>
      <c r="P61" s="55"/>
      <c r="Q61" s="55"/>
      <c r="R61" s="55"/>
      <c r="S61" s="55"/>
      <c r="T61" s="746"/>
      <c r="U61" s="1486">
        <v>0</v>
      </c>
      <c r="V61" s="1487"/>
      <c r="W61" s="1488"/>
      <c r="X61" s="649"/>
      <c r="Y61" s="649"/>
    </row>
    <row r="62" spans="1:37" ht="21" customHeight="1">
      <c r="A62" s="649"/>
      <c r="B62" s="649"/>
      <c r="C62" s="715">
        <v>13</v>
      </c>
      <c r="D62" s="556" t="s">
        <v>427</v>
      </c>
      <c r="E62" s="717"/>
      <c r="F62" s="717"/>
      <c r="G62" s="560" t="s">
        <v>428</v>
      </c>
      <c r="H62" s="124"/>
      <c r="I62" s="124"/>
      <c r="J62" s="124"/>
      <c r="K62" s="124"/>
      <c r="L62" s="124"/>
      <c r="M62" s="124"/>
      <c r="N62" s="55"/>
      <c r="O62" s="717"/>
      <c r="P62" s="55"/>
      <c r="Q62" s="55"/>
      <c r="R62" s="55"/>
      <c r="S62" s="55"/>
      <c r="T62" s="746"/>
      <c r="U62" s="1486">
        <v>0</v>
      </c>
      <c r="V62" s="1487"/>
      <c r="W62" s="1488"/>
      <c r="X62" s="649"/>
      <c r="Y62" s="649"/>
    </row>
    <row r="63" spans="1:37" ht="5.25" customHeight="1">
      <c r="A63" s="649"/>
      <c r="B63" s="649"/>
      <c r="C63" s="747"/>
      <c r="D63" s="649"/>
      <c r="E63" s="649"/>
      <c r="F63" s="649"/>
      <c r="G63" s="649"/>
      <c r="H63" s="649"/>
      <c r="I63" s="649"/>
      <c r="J63" s="649"/>
      <c r="K63" s="649"/>
      <c r="L63" s="649"/>
      <c r="M63" s="649"/>
      <c r="N63" s="649"/>
      <c r="O63" s="649"/>
      <c r="P63" s="655"/>
      <c r="Q63" s="655"/>
      <c r="R63" s="655"/>
      <c r="S63" s="655"/>
      <c r="T63" s="655"/>
      <c r="U63" s="655"/>
      <c r="V63" s="655"/>
      <c r="W63" s="655"/>
      <c r="X63" s="655"/>
      <c r="Y63" s="649"/>
    </row>
    <row r="64" spans="1:37" ht="21" customHeight="1">
      <c r="A64" s="649"/>
      <c r="B64" s="649"/>
      <c r="C64" s="748" t="s">
        <v>287</v>
      </c>
      <c r="D64" s="649"/>
      <c r="E64" s="649"/>
      <c r="F64" s="649"/>
      <c r="G64" s="649"/>
      <c r="H64" s="649"/>
      <c r="I64" s="649"/>
      <c r="J64" s="649"/>
      <c r="K64" s="649"/>
      <c r="L64" s="649"/>
      <c r="M64" s="649"/>
      <c r="N64" s="649"/>
      <c r="O64" s="649"/>
      <c r="P64" s="655"/>
      <c r="Q64" s="655"/>
      <c r="R64" s="655"/>
      <c r="S64" s="655"/>
      <c r="T64" s="655"/>
      <c r="U64" s="655"/>
      <c r="V64" s="655"/>
      <c r="W64" s="655"/>
      <c r="X64" s="655"/>
      <c r="Y64" s="649"/>
    </row>
    <row r="65" spans="1:25" ht="9.9499999999999993" customHeight="1">
      <c r="A65" s="649"/>
      <c r="B65" s="649"/>
      <c r="C65" s="747"/>
      <c r="D65" s="649"/>
      <c r="E65" s="649"/>
      <c r="F65" s="649"/>
      <c r="G65" s="649"/>
      <c r="H65" s="649"/>
      <c r="I65" s="649"/>
      <c r="J65" s="649"/>
      <c r="K65" s="649"/>
      <c r="L65" s="649"/>
      <c r="M65" s="649"/>
      <c r="N65" s="649"/>
      <c r="O65" s="649"/>
      <c r="P65" s="655"/>
      <c r="Q65" s="655"/>
      <c r="R65" s="655"/>
      <c r="S65" s="655"/>
      <c r="T65" s="655"/>
      <c r="U65" s="655"/>
      <c r="V65" s="655"/>
      <c r="W65" s="655"/>
      <c r="X65" s="655"/>
      <c r="Y65" s="649"/>
    </row>
    <row r="66" spans="1:25" ht="21" customHeight="1">
      <c r="A66" s="649"/>
      <c r="B66" s="649"/>
      <c r="C66" s="715">
        <v>1</v>
      </c>
      <c r="D66" s="1469" t="s">
        <v>134</v>
      </c>
      <c r="E66" s="1470"/>
      <c r="F66" s="1470"/>
      <c r="G66" s="1470"/>
      <c r="H66" s="1470"/>
      <c r="I66" s="1470"/>
      <c r="J66" s="1470"/>
      <c r="K66" s="1470"/>
      <c r="L66" s="1470"/>
      <c r="M66" s="1470"/>
      <c r="N66" s="1470"/>
      <c r="O66" s="1470"/>
      <c r="P66" s="1470"/>
      <c r="Q66" s="1470"/>
      <c r="R66" s="1470"/>
      <c r="S66" s="1470"/>
      <c r="T66" s="718"/>
      <c r="U66" s="1478">
        <v>0</v>
      </c>
      <c r="V66" s="1479"/>
      <c r="W66" s="1480"/>
      <c r="X66" s="649"/>
      <c r="Y66" s="649"/>
    </row>
    <row r="67" spans="1:25" ht="21" customHeight="1">
      <c r="A67" s="649"/>
      <c r="B67" s="649"/>
      <c r="C67" s="715">
        <v>2</v>
      </c>
      <c r="D67" s="750" t="s">
        <v>501</v>
      </c>
      <c r="E67" s="734"/>
      <c r="F67" s="734"/>
      <c r="G67" s="734"/>
      <c r="H67" s="734"/>
      <c r="I67" s="734"/>
      <c r="J67" s="734"/>
      <c r="K67" s="734"/>
      <c r="L67" s="734"/>
      <c r="M67" s="734"/>
      <c r="N67" s="734"/>
      <c r="O67" s="734"/>
      <c r="P67" s="734"/>
      <c r="Q67" s="734"/>
      <c r="R67" s="734"/>
      <c r="S67" s="734"/>
      <c r="T67" s="818"/>
      <c r="U67" s="1478">
        <v>0</v>
      </c>
      <c r="V67" s="1479"/>
      <c r="W67" s="1480"/>
      <c r="X67" s="649"/>
      <c r="Y67" s="649"/>
    </row>
    <row r="68" spans="1:25" ht="21" customHeight="1">
      <c r="A68" s="649"/>
      <c r="B68" s="649"/>
      <c r="C68" s="715">
        <v>3</v>
      </c>
      <c r="D68" s="1469" t="s">
        <v>138</v>
      </c>
      <c r="E68" s="1470"/>
      <c r="F68" s="1470"/>
      <c r="G68" s="1470"/>
      <c r="H68" s="1470"/>
      <c r="I68" s="1470"/>
      <c r="J68" s="1470"/>
      <c r="K68" s="1470"/>
      <c r="L68" s="1470"/>
      <c r="M68" s="1470"/>
      <c r="N68" s="1470"/>
      <c r="O68" s="1470"/>
      <c r="P68" s="1470"/>
      <c r="Q68" s="1470"/>
      <c r="R68" s="1470"/>
      <c r="S68" s="1470"/>
      <c r="T68" s="718"/>
      <c r="U68" s="1478">
        <v>0</v>
      </c>
      <c r="V68" s="1479"/>
      <c r="W68" s="1480"/>
      <c r="X68" s="649"/>
      <c r="Y68" s="649"/>
    </row>
    <row r="69" spans="1:25" ht="21" customHeight="1">
      <c r="A69" s="649"/>
      <c r="B69" s="649"/>
      <c r="C69" s="715">
        <v>5</v>
      </c>
      <c r="D69" s="1469" t="s">
        <v>470</v>
      </c>
      <c r="E69" s="1470"/>
      <c r="F69" s="1470"/>
      <c r="G69" s="1470"/>
      <c r="H69" s="1470"/>
      <c r="I69" s="1470"/>
      <c r="J69" s="1470"/>
      <c r="K69" s="1470"/>
      <c r="L69" s="1470"/>
      <c r="M69" s="1470"/>
      <c r="N69" s="1470"/>
      <c r="O69" s="1470"/>
      <c r="P69" s="1470"/>
      <c r="Q69" s="1470"/>
      <c r="R69" s="1470"/>
      <c r="S69" s="1470"/>
      <c r="T69" s="718"/>
      <c r="U69" s="1478">
        <v>0</v>
      </c>
      <c r="V69" s="1479"/>
      <c r="W69" s="1480"/>
      <c r="X69" s="649"/>
      <c r="Y69" s="649"/>
    </row>
    <row r="70" spans="1:25" ht="21" customHeight="1">
      <c r="A70" s="649"/>
      <c r="B70" s="649"/>
      <c r="C70" s="715">
        <v>6</v>
      </c>
      <c r="D70" s="1469" t="s">
        <v>161</v>
      </c>
      <c r="E70" s="1470"/>
      <c r="F70" s="1470"/>
      <c r="G70" s="1470"/>
      <c r="H70" s="1470"/>
      <c r="I70" s="1470"/>
      <c r="J70" s="1470"/>
      <c r="K70" s="1470"/>
      <c r="L70" s="1470"/>
      <c r="M70" s="1470"/>
      <c r="N70" s="1470"/>
      <c r="O70" s="1470"/>
      <c r="P70" s="1470"/>
      <c r="Q70" s="1470"/>
      <c r="R70" s="1470"/>
      <c r="S70" s="1470"/>
      <c r="T70" s="718"/>
      <c r="U70" s="1478">
        <v>0</v>
      </c>
      <c r="V70" s="1479"/>
      <c r="W70" s="1480"/>
      <c r="X70" s="649"/>
      <c r="Y70" s="649"/>
    </row>
    <row r="71" spans="1:25" ht="21" customHeight="1">
      <c r="A71" s="649"/>
      <c r="B71" s="649"/>
      <c r="C71" s="715"/>
      <c r="D71" s="716" t="s">
        <v>478</v>
      </c>
      <c r="E71" s="717"/>
      <c r="F71" s="717"/>
      <c r="G71" s="717"/>
      <c r="H71" s="717"/>
      <c r="I71" s="717"/>
      <c r="J71" s="717"/>
      <c r="K71" s="717"/>
      <c r="L71" s="717"/>
      <c r="M71" s="717"/>
      <c r="N71" s="717"/>
      <c r="O71" s="717"/>
      <c r="P71" s="717"/>
      <c r="Q71" s="717"/>
      <c r="R71" s="717"/>
      <c r="S71" s="717"/>
      <c r="T71" s="718"/>
      <c r="U71" s="1478">
        <v>0</v>
      </c>
      <c r="V71" s="1479"/>
      <c r="W71" s="1480"/>
      <c r="X71" s="649"/>
      <c r="Y71" s="649"/>
    </row>
    <row r="72" spans="1:25" ht="21" customHeight="1">
      <c r="A72" s="649"/>
      <c r="B72" s="649"/>
      <c r="C72" s="715">
        <v>7</v>
      </c>
      <c r="D72" s="1469" t="s">
        <v>503</v>
      </c>
      <c r="E72" s="1470"/>
      <c r="F72" s="1470"/>
      <c r="G72" s="1470"/>
      <c r="H72" s="1470"/>
      <c r="I72" s="1470"/>
      <c r="J72" s="1470"/>
      <c r="K72" s="1470"/>
      <c r="L72" s="1470"/>
      <c r="M72" s="1470"/>
      <c r="N72" s="1470"/>
      <c r="O72" s="1470"/>
      <c r="P72" s="1470"/>
      <c r="Q72" s="1470"/>
      <c r="R72" s="1470"/>
      <c r="S72" s="1470"/>
      <c r="T72" s="718"/>
      <c r="U72" s="1478">
        <v>0</v>
      </c>
      <c r="V72" s="1479"/>
      <c r="W72" s="1480"/>
      <c r="X72" s="649"/>
      <c r="Y72" s="649"/>
    </row>
    <row r="73" spans="1:25">
      <c r="A73" s="672"/>
      <c r="B73" s="672"/>
      <c r="C73" s="1468">
        <v>8</v>
      </c>
      <c r="D73" s="1350" t="s">
        <v>337</v>
      </c>
      <c r="E73" s="1351"/>
      <c r="F73" s="1351"/>
      <c r="G73" s="1351"/>
      <c r="H73" s="1351"/>
      <c r="I73" s="1351"/>
      <c r="J73" s="1351"/>
      <c r="K73" s="1351"/>
      <c r="L73" s="1351"/>
      <c r="M73" s="1351"/>
      <c r="N73" s="1351"/>
      <c r="O73" s="1351"/>
      <c r="P73" s="56"/>
      <c r="Q73" s="57"/>
      <c r="R73" s="1361" t="s">
        <v>85</v>
      </c>
      <c r="S73" s="1362"/>
      <c r="T73" s="1363"/>
      <c r="U73" s="1504">
        <v>0</v>
      </c>
      <c r="V73" s="1505"/>
      <c r="W73" s="1506"/>
      <c r="X73" s="672"/>
      <c r="Y73" s="649"/>
    </row>
    <row r="74" spans="1:25">
      <c r="A74" s="672"/>
      <c r="B74" s="672"/>
      <c r="C74" s="1468"/>
      <c r="D74" s="1352"/>
      <c r="E74" s="1353"/>
      <c r="F74" s="1353"/>
      <c r="G74" s="1353"/>
      <c r="H74" s="1353"/>
      <c r="I74" s="1353"/>
      <c r="J74" s="1353"/>
      <c r="K74" s="1353"/>
      <c r="L74" s="1353"/>
      <c r="M74" s="1353"/>
      <c r="N74" s="1353"/>
      <c r="O74" s="1353"/>
      <c r="P74" s="58"/>
      <c r="Q74" s="59"/>
      <c r="R74" s="1361" t="s">
        <v>84</v>
      </c>
      <c r="S74" s="1362"/>
      <c r="T74" s="1363"/>
      <c r="U74" s="1504">
        <v>0</v>
      </c>
      <c r="V74" s="1505"/>
      <c r="W74" s="1506"/>
      <c r="X74" s="672"/>
      <c r="Y74" s="649"/>
    </row>
    <row r="75" spans="1:25">
      <c r="A75" s="672"/>
      <c r="B75" s="672"/>
      <c r="C75" s="1468"/>
      <c r="D75" s="1354"/>
      <c r="E75" s="1355"/>
      <c r="F75" s="1355"/>
      <c r="G75" s="1355"/>
      <c r="H75" s="1355"/>
      <c r="I75" s="1355"/>
      <c r="J75" s="1355"/>
      <c r="K75" s="1355"/>
      <c r="L75" s="1355"/>
      <c r="M75" s="1355"/>
      <c r="N75" s="1355"/>
      <c r="O75" s="1355"/>
      <c r="P75" s="383">
        <f>IF(12000&gt;=U73,U73,12000)</f>
        <v>0</v>
      </c>
      <c r="Q75" s="384">
        <f>IF(12000&gt;=U74,U74,12000)</f>
        <v>0</v>
      </c>
      <c r="R75" s="1361" t="s">
        <v>70</v>
      </c>
      <c r="S75" s="1362"/>
      <c r="T75" s="1363"/>
      <c r="U75" s="1514">
        <f>U73+U74</f>
        <v>0</v>
      </c>
      <c r="V75" s="1515"/>
      <c r="W75" s="1516"/>
      <c r="X75" s="672"/>
      <c r="Y75" s="649"/>
    </row>
    <row r="76" spans="1:25" ht="21" customHeight="1">
      <c r="A76" s="672"/>
      <c r="B76" s="672"/>
      <c r="C76" s="730">
        <v>9</v>
      </c>
      <c r="D76" s="1469" t="s">
        <v>313</v>
      </c>
      <c r="E76" s="1470"/>
      <c r="F76" s="1470"/>
      <c r="G76" s="1470"/>
      <c r="H76" s="1470"/>
      <c r="I76" s="1470"/>
      <c r="J76" s="1470"/>
      <c r="K76" s="1470"/>
      <c r="L76" s="1470"/>
      <c r="M76" s="1470"/>
      <c r="N76" s="1470"/>
      <c r="O76" s="1470"/>
      <c r="P76" s="1470"/>
      <c r="Q76" s="1470"/>
      <c r="R76" s="1470"/>
      <c r="S76" s="1470"/>
      <c r="T76" s="719"/>
      <c r="U76" s="1504">
        <v>0</v>
      </c>
      <c r="V76" s="1505"/>
      <c r="W76" s="1506"/>
      <c r="X76" s="672"/>
      <c r="Y76" s="649"/>
    </row>
    <row r="77" spans="1:25" ht="21" customHeight="1">
      <c r="A77" s="672"/>
      <c r="B77" s="672"/>
      <c r="C77" s="715">
        <v>10</v>
      </c>
      <c r="D77" s="1469" t="s">
        <v>505</v>
      </c>
      <c r="E77" s="1470"/>
      <c r="F77" s="1470"/>
      <c r="G77" s="1470"/>
      <c r="H77" s="1470"/>
      <c r="I77" s="1470"/>
      <c r="J77" s="1470"/>
      <c r="K77" s="1470"/>
      <c r="L77" s="1470"/>
      <c r="M77" s="1470"/>
      <c r="N77" s="1470"/>
      <c r="O77" s="1470"/>
      <c r="P77" s="1470"/>
      <c r="Q77" s="1470"/>
      <c r="R77" s="1470"/>
      <c r="S77" s="1470"/>
      <c r="T77" s="728">
        <f>'Earning- Salary'!N47+U77</f>
        <v>0</v>
      </c>
      <c r="U77" s="1503">
        <v>0</v>
      </c>
      <c r="V77" s="1503"/>
      <c r="W77" s="1503"/>
      <c r="X77" s="672"/>
      <c r="Y77" s="649"/>
    </row>
    <row r="78" spans="1:25" ht="21" customHeight="1">
      <c r="A78" s="649"/>
      <c r="B78" s="649"/>
      <c r="C78" s="732">
        <v>11</v>
      </c>
      <c r="D78" s="750" t="s">
        <v>365</v>
      </c>
      <c r="E78" s="734"/>
      <c r="F78" s="734"/>
      <c r="G78" s="738"/>
      <c r="H78" s="734"/>
      <c r="I78" s="734"/>
      <c r="J78" s="734"/>
      <c r="K78" s="734"/>
      <c r="L78" s="734"/>
      <c r="M78" s="734"/>
      <c r="N78" s="734"/>
      <c r="O78" s="738"/>
      <c r="P78" s="717"/>
      <c r="Q78" s="717"/>
      <c r="R78" s="717"/>
      <c r="S78" s="717"/>
      <c r="T78" s="719"/>
      <c r="U78" s="1475">
        <v>0</v>
      </c>
      <c r="V78" s="1476"/>
      <c r="W78" s="1477"/>
      <c r="X78" s="649"/>
      <c r="Y78" s="649"/>
    </row>
    <row r="79" spans="1:25" ht="10.5" customHeight="1">
      <c r="A79" s="649"/>
      <c r="B79" s="649"/>
      <c r="C79" s="781"/>
      <c r="D79" s="782"/>
      <c r="E79" s="782"/>
      <c r="F79" s="782"/>
      <c r="G79" s="783"/>
      <c r="H79" s="782"/>
      <c r="I79" s="782"/>
      <c r="J79" s="782"/>
      <c r="K79" s="782"/>
      <c r="L79" s="782"/>
      <c r="M79" s="782"/>
      <c r="N79" s="782"/>
      <c r="O79" s="783"/>
      <c r="P79" s="673"/>
      <c r="Q79" s="673"/>
      <c r="R79" s="673"/>
      <c r="S79" s="673"/>
      <c r="T79" s="784"/>
      <c r="U79" s="797"/>
      <c r="V79" s="797"/>
      <c r="W79" s="797"/>
      <c r="X79" s="649"/>
      <c r="Y79" s="649"/>
    </row>
    <row r="80" spans="1:25" ht="21" hidden="1" customHeight="1">
      <c r="A80" s="649"/>
      <c r="B80" s="649"/>
      <c r="C80" s="781"/>
      <c r="D80" s="782"/>
      <c r="E80" s="782"/>
      <c r="F80" s="782"/>
      <c r="G80" s="783"/>
      <c r="H80" s="782"/>
      <c r="I80" s="782"/>
      <c r="J80" s="782"/>
      <c r="K80" s="782"/>
      <c r="L80" s="782"/>
      <c r="M80" s="782"/>
      <c r="N80" s="782"/>
      <c r="O80" s="783"/>
      <c r="P80" s="673"/>
      <c r="Q80" s="673"/>
      <c r="R80" s="673"/>
      <c r="S80" s="673"/>
      <c r="T80" s="784"/>
      <c r="U80" s="771"/>
      <c r="V80" s="771"/>
      <c r="W80" s="771"/>
      <c r="X80" s="649"/>
      <c r="Y80" s="649"/>
    </row>
    <row r="81" spans="1:26" ht="21" customHeight="1">
      <c r="A81" s="649"/>
      <c r="B81" s="649"/>
      <c r="C81" s="748" t="s">
        <v>421</v>
      </c>
      <c r="D81" s="649"/>
      <c r="E81" s="672" t="s">
        <v>289</v>
      </c>
      <c r="F81" s="649"/>
      <c r="G81" s="649"/>
      <c r="H81" s="649"/>
      <c r="I81" s="649"/>
      <c r="J81" s="649"/>
      <c r="K81" s="649"/>
      <c r="L81" s="649"/>
      <c r="M81" s="649"/>
      <c r="N81" s="649"/>
      <c r="O81" s="649"/>
      <c r="P81" s="655"/>
      <c r="Q81" s="655"/>
      <c r="R81" s="655"/>
      <c r="S81" s="655"/>
      <c r="T81" s="655"/>
      <c r="U81" s="655"/>
      <c r="V81" s="655"/>
      <c r="W81" s="655"/>
      <c r="X81" s="655"/>
      <c r="Y81" s="649"/>
    </row>
    <row r="82" spans="1:26" ht="9.9499999999999993" customHeight="1">
      <c r="A82" s="649"/>
      <c r="B82" s="649"/>
      <c r="C82" s="747"/>
      <c r="D82" s="649"/>
      <c r="E82" s="649"/>
      <c r="F82" s="649"/>
      <c r="G82" s="649"/>
      <c r="H82" s="649"/>
      <c r="I82" s="649"/>
      <c r="J82" s="649"/>
      <c r="K82" s="649"/>
      <c r="L82" s="649"/>
      <c r="M82" s="649"/>
      <c r="N82" s="649"/>
      <c r="O82" s="649"/>
      <c r="P82" s="655"/>
      <c r="Q82" s="655"/>
      <c r="R82" s="655"/>
      <c r="S82" s="655"/>
      <c r="T82" s="655"/>
      <c r="U82" s="655"/>
      <c r="V82" s="655"/>
      <c r="W82" s="655"/>
      <c r="X82" s="655"/>
      <c r="Y82" s="649"/>
    </row>
    <row r="83" spans="1:26" ht="21" customHeight="1">
      <c r="A83" s="649"/>
      <c r="B83" s="649"/>
      <c r="C83" s="715">
        <v>1</v>
      </c>
      <c r="D83" s="556" t="s">
        <v>497</v>
      </c>
      <c r="E83" s="717"/>
      <c r="F83" s="717"/>
      <c r="G83" s="55"/>
      <c r="H83" s="124"/>
      <c r="I83" s="124"/>
      <c r="J83" s="124"/>
      <c r="K83" s="124"/>
      <c r="L83" s="124"/>
      <c r="M83" s="124"/>
      <c r="N83" s="561"/>
      <c r="O83" s="717"/>
      <c r="P83" s="55"/>
      <c r="Q83" s="55"/>
      <c r="R83" s="55"/>
      <c r="S83" s="55"/>
      <c r="T83" s="746"/>
      <c r="U83" s="1500">
        <f>'Earning- Salary'!N39+'Earning- Salary'!N40</f>
        <v>0</v>
      </c>
      <c r="V83" s="1501"/>
      <c r="W83" s="1502"/>
      <c r="X83" s="649"/>
      <c r="Y83" s="649"/>
    </row>
    <row r="84" spans="1:26" ht="21" customHeight="1">
      <c r="A84" s="649"/>
      <c r="B84" s="649"/>
      <c r="C84" s="715">
        <v>2</v>
      </c>
      <c r="D84" s="556" t="s">
        <v>609</v>
      </c>
      <c r="E84" s="717"/>
      <c r="F84" s="717"/>
      <c r="G84" s="55"/>
      <c r="H84" s="124"/>
      <c r="I84" s="124"/>
      <c r="J84" s="124"/>
      <c r="K84" s="124"/>
      <c r="L84" s="124"/>
      <c r="M84" s="124"/>
      <c r="N84" s="561"/>
      <c r="O84" s="717"/>
      <c r="P84" s="55"/>
      <c r="Q84" s="55"/>
      <c r="R84" s="55"/>
      <c r="S84" s="55"/>
      <c r="T84" s="746"/>
      <c r="U84" s="1475">
        <v>0</v>
      </c>
      <c r="V84" s="1476"/>
      <c r="W84" s="1477"/>
      <c r="X84" s="649"/>
      <c r="Y84" s="649"/>
    </row>
    <row r="85" spans="1:26" ht="21" customHeight="1">
      <c r="A85" s="649"/>
      <c r="B85" s="649"/>
      <c r="C85" s="715">
        <v>3</v>
      </c>
      <c r="D85" s="556" t="s">
        <v>498</v>
      </c>
      <c r="E85" s="717"/>
      <c r="F85" s="717"/>
      <c r="G85" s="55"/>
      <c r="H85" s="124"/>
      <c r="I85" s="124"/>
      <c r="J85" s="124"/>
      <c r="K85" s="124"/>
      <c r="L85" s="124"/>
      <c r="M85" s="124"/>
      <c r="N85" s="561"/>
      <c r="O85" s="717"/>
      <c r="P85" s="55"/>
      <c r="Q85" s="55"/>
      <c r="R85" s="55"/>
      <c r="S85" s="55"/>
      <c r="T85" s="746"/>
      <c r="U85" s="1475">
        <v>0</v>
      </c>
      <c r="V85" s="1476"/>
      <c r="W85" s="1477"/>
      <c r="X85" s="649"/>
      <c r="Y85" s="649"/>
    </row>
    <row r="86" spans="1:26" ht="4.5" customHeight="1">
      <c r="A86" s="649"/>
      <c r="B86" s="649"/>
      <c r="C86" s="747"/>
      <c r="D86" s="649"/>
      <c r="E86" s="649"/>
      <c r="F86" s="649"/>
      <c r="G86" s="649"/>
      <c r="H86" s="649"/>
      <c r="I86" s="649"/>
      <c r="J86" s="649"/>
      <c r="K86" s="649"/>
      <c r="L86" s="649"/>
      <c r="M86" s="649"/>
      <c r="N86" s="649"/>
      <c r="O86" s="649"/>
      <c r="P86" s="655"/>
      <c r="Q86" s="655"/>
      <c r="R86" s="655"/>
      <c r="S86" s="655"/>
      <c r="T86" s="655"/>
      <c r="U86" s="655"/>
      <c r="V86" s="655"/>
      <c r="W86" s="655"/>
      <c r="X86" s="655"/>
      <c r="Y86" s="649"/>
    </row>
    <row r="87" spans="1:26" ht="21" customHeight="1">
      <c r="A87" s="649"/>
      <c r="B87" s="649"/>
      <c r="C87" s="748" t="s">
        <v>285</v>
      </c>
      <c r="D87" s="649"/>
      <c r="E87" s="672" t="s">
        <v>289</v>
      </c>
      <c r="F87" s="649"/>
      <c r="G87" s="649"/>
      <c r="H87" s="649"/>
      <c r="I87" s="649"/>
      <c r="J87" s="649"/>
      <c r="K87" s="649"/>
      <c r="L87" s="649"/>
      <c r="M87" s="649"/>
      <c r="N87" s="649"/>
      <c r="O87" s="649"/>
      <c r="P87" s="655"/>
      <c r="Q87" s="655"/>
      <c r="R87" s="655"/>
      <c r="S87" s="655"/>
      <c r="T87" s="655"/>
      <c r="U87" s="655"/>
      <c r="V87" s="655"/>
      <c r="W87" s="655"/>
      <c r="X87" s="655"/>
      <c r="Y87" s="649"/>
    </row>
    <row r="88" spans="1:26" ht="4.5" customHeight="1">
      <c r="A88" s="649"/>
      <c r="B88" s="649"/>
      <c r="C88" s="747"/>
      <c r="D88" s="649"/>
      <c r="E88" s="649"/>
      <c r="F88" s="649"/>
      <c r="G88" s="649"/>
      <c r="H88" s="649"/>
      <c r="I88" s="649"/>
      <c r="J88" s="649"/>
      <c r="K88" s="649"/>
      <c r="L88" s="649"/>
      <c r="M88" s="649"/>
      <c r="N88" s="649"/>
      <c r="O88" s="649"/>
      <c r="P88" s="655"/>
      <c r="Q88" s="655"/>
      <c r="R88" s="655"/>
      <c r="S88" s="655"/>
      <c r="T88" s="655"/>
      <c r="U88" s="655"/>
      <c r="V88" s="655"/>
      <c r="W88" s="655"/>
      <c r="X88" s="655"/>
      <c r="Y88" s="649"/>
    </row>
    <row r="89" spans="1:26" ht="21" customHeight="1">
      <c r="A89" s="649"/>
      <c r="B89" s="649"/>
      <c r="C89" s="715">
        <v>1</v>
      </c>
      <c r="D89" s="717" t="s">
        <v>290</v>
      </c>
      <c r="E89" s="717"/>
      <c r="F89" s="717"/>
      <c r="G89" s="717"/>
      <c r="H89" s="717"/>
      <c r="I89" s="717"/>
      <c r="J89" s="717"/>
      <c r="K89" s="717"/>
      <c r="L89" s="717"/>
      <c r="M89" s="717"/>
      <c r="N89" s="717"/>
      <c r="O89" s="717"/>
      <c r="P89" s="717"/>
      <c r="Q89" s="717"/>
      <c r="R89" s="717"/>
      <c r="S89" s="717"/>
      <c r="T89" s="718"/>
      <c r="U89" s="1478">
        <v>0</v>
      </c>
      <c r="V89" s="1479"/>
      <c r="W89" s="1480"/>
      <c r="X89" s="649"/>
      <c r="Y89" s="649"/>
    </row>
    <row r="90" spans="1:26" ht="21" customHeight="1">
      <c r="A90" s="649"/>
      <c r="B90" s="649"/>
      <c r="C90" s="715">
        <v>2</v>
      </c>
      <c r="D90" s="716" t="s">
        <v>425</v>
      </c>
      <c r="E90" s="717"/>
      <c r="F90" s="717"/>
      <c r="G90" s="717"/>
      <c r="H90" s="717"/>
      <c r="I90" s="717"/>
      <c r="J90" s="717"/>
      <c r="K90" s="717"/>
      <c r="L90" s="717"/>
      <c r="M90" s="717"/>
      <c r="N90" s="717"/>
      <c r="O90" s="717" t="s">
        <v>293</v>
      </c>
      <c r="P90" s="717"/>
      <c r="Q90" s="717"/>
      <c r="R90" s="717"/>
      <c r="S90" s="717"/>
      <c r="T90" s="718"/>
      <c r="U90" s="1475">
        <v>0</v>
      </c>
      <c r="V90" s="1476"/>
      <c r="W90" s="1477"/>
      <c r="X90" s="649"/>
      <c r="Y90" s="649"/>
    </row>
    <row r="91" spans="1:26" ht="9.9499999999999993" customHeight="1">
      <c r="A91" s="649"/>
      <c r="B91" s="649"/>
      <c r="C91" s="747"/>
      <c r="D91" s="649"/>
      <c r="E91" s="649"/>
      <c r="F91" s="649"/>
      <c r="G91" s="649"/>
      <c r="H91" s="649"/>
      <c r="I91" s="649"/>
      <c r="J91" s="649"/>
      <c r="K91" s="649"/>
      <c r="L91" s="649"/>
      <c r="M91" s="649"/>
      <c r="N91" s="649"/>
      <c r="O91" s="649"/>
      <c r="P91" s="655"/>
      <c r="Q91" s="655"/>
      <c r="R91" s="655"/>
      <c r="S91" s="655"/>
      <c r="T91" s="655"/>
      <c r="U91" s="655"/>
      <c r="V91" s="655"/>
      <c r="W91" s="655"/>
      <c r="X91" s="655"/>
      <c r="Y91" s="649"/>
    </row>
    <row r="92" spans="1:26" s="688" customFormat="1" ht="21" customHeight="1">
      <c r="A92" s="685"/>
      <c r="B92" s="686"/>
      <c r="C92" s="687" t="s">
        <v>150</v>
      </c>
      <c r="D92" s="1473" t="s">
        <v>317</v>
      </c>
      <c r="E92" s="1333"/>
      <c r="F92" s="1333"/>
      <c r="G92" s="1333"/>
      <c r="H92" s="1333"/>
      <c r="I92" s="1334"/>
      <c r="J92" s="1471" t="s">
        <v>67</v>
      </c>
      <c r="K92" s="1471"/>
      <c r="L92" s="1471"/>
      <c r="M92" s="1471" t="s">
        <v>66</v>
      </c>
      <c r="N92" s="1471"/>
      <c r="O92" s="1471"/>
      <c r="P92" s="1471" t="s">
        <v>151</v>
      </c>
      <c r="Q92" s="1471"/>
      <c r="R92" s="1471"/>
      <c r="S92" s="1471"/>
      <c r="T92" s="1471" t="s">
        <v>152</v>
      </c>
      <c r="U92" s="1471"/>
      <c r="V92" s="1471"/>
      <c r="W92" s="1471"/>
      <c r="X92" s="1471"/>
      <c r="Y92" s="686"/>
      <c r="Z92" s="774"/>
    </row>
    <row r="93" spans="1:26" ht="21" customHeight="1">
      <c r="A93" s="649"/>
      <c r="B93" s="655"/>
      <c r="C93" s="689">
        <v>1</v>
      </c>
      <c r="D93" s="1455" t="s">
        <v>416</v>
      </c>
      <c r="E93" s="1339"/>
      <c r="F93" s="1339"/>
      <c r="G93" s="1339"/>
      <c r="H93" s="1339"/>
      <c r="I93" s="1340"/>
      <c r="J93" s="1466"/>
      <c r="K93" s="1466"/>
      <c r="L93" s="1466"/>
      <c r="M93" s="1462">
        <v>0</v>
      </c>
      <c r="N93" s="1463"/>
      <c r="O93" s="1464"/>
      <c r="P93" s="1466"/>
      <c r="Q93" s="1466"/>
      <c r="R93" s="1466"/>
      <c r="S93" s="1466"/>
      <c r="T93" s="1481"/>
      <c r="U93" s="1481"/>
      <c r="V93" s="1481"/>
      <c r="W93" s="1481"/>
      <c r="X93" s="1481"/>
      <c r="Y93" s="655"/>
    </row>
    <row r="94" spans="1:26" ht="21" customHeight="1">
      <c r="A94" s="649"/>
      <c r="B94" s="655"/>
      <c r="C94" s="689">
        <v>2</v>
      </c>
      <c r="D94" s="1455" t="s">
        <v>416</v>
      </c>
      <c r="E94" s="1339"/>
      <c r="F94" s="1339"/>
      <c r="G94" s="1339"/>
      <c r="H94" s="1339"/>
      <c r="I94" s="1340"/>
      <c r="J94" s="1466"/>
      <c r="K94" s="1466"/>
      <c r="L94" s="1466"/>
      <c r="M94" s="1462">
        <v>0</v>
      </c>
      <c r="N94" s="1463"/>
      <c r="O94" s="1464"/>
      <c r="P94" s="1467"/>
      <c r="Q94" s="1467"/>
      <c r="R94" s="1467"/>
      <c r="S94" s="1467"/>
      <c r="T94" s="1466"/>
      <c r="U94" s="1466"/>
      <c r="V94" s="1466"/>
      <c r="W94" s="1466"/>
      <c r="X94" s="1466"/>
      <c r="Y94" s="655"/>
    </row>
    <row r="95" spans="1:26" ht="21" customHeight="1">
      <c r="A95" s="649"/>
      <c r="B95" s="655"/>
      <c r="C95" s="690">
        <v>3</v>
      </c>
      <c r="D95" s="1474" t="s">
        <v>413</v>
      </c>
      <c r="E95" s="1376"/>
      <c r="F95" s="1376"/>
      <c r="G95" s="1376"/>
      <c r="H95" s="1376"/>
      <c r="I95" s="1377"/>
      <c r="J95" s="1472"/>
      <c r="K95" s="1472"/>
      <c r="L95" s="1472"/>
      <c r="M95" s="1462">
        <v>0</v>
      </c>
      <c r="N95" s="1463"/>
      <c r="O95" s="1464"/>
      <c r="P95" s="1467"/>
      <c r="Q95" s="1467"/>
      <c r="R95" s="1467"/>
      <c r="S95" s="1467"/>
      <c r="T95" s="1466"/>
      <c r="U95" s="1466"/>
      <c r="V95" s="1466"/>
      <c r="W95" s="1466"/>
      <c r="X95" s="1466"/>
      <c r="Y95" s="655"/>
    </row>
    <row r="96" spans="1:26" ht="21" customHeight="1">
      <c r="A96" s="649"/>
      <c r="B96" s="655"/>
      <c r="C96" s="690">
        <v>4</v>
      </c>
      <c r="D96" s="1455" t="s">
        <v>414</v>
      </c>
      <c r="E96" s="1339"/>
      <c r="F96" s="1339"/>
      <c r="G96" s="1339"/>
      <c r="H96" s="1339"/>
      <c r="I96" s="1340"/>
      <c r="J96" s="1466"/>
      <c r="K96" s="1466"/>
      <c r="L96" s="1466"/>
      <c r="M96" s="1462">
        <v>0</v>
      </c>
      <c r="N96" s="1463"/>
      <c r="O96" s="1464"/>
      <c r="P96" s="1467"/>
      <c r="Q96" s="1467"/>
      <c r="R96" s="1467"/>
      <c r="S96" s="1467"/>
      <c r="T96" s="1466"/>
      <c r="U96" s="1466"/>
      <c r="V96" s="1466"/>
      <c r="W96" s="1466"/>
      <c r="X96" s="1466"/>
      <c r="Y96" s="655"/>
    </row>
    <row r="97" spans="1:27" ht="21" customHeight="1">
      <c r="A97" s="649"/>
      <c r="B97" s="655"/>
      <c r="C97" s="690">
        <v>5</v>
      </c>
      <c r="D97" s="1455" t="s">
        <v>415</v>
      </c>
      <c r="E97" s="1339"/>
      <c r="F97" s="1339"/>
      <c r="G97" s="1339"/>
      <c r="H97" s="1339"/>
      <c r="I97" s="1340"/>
      <c r="J97" s="1466"/>
      <c r="K97" s="1466"/>
      <c r="L97" s="1466"/>
      <c r="M97" s="1462">
        <v>0</v>
      </c>
      <c r="N97" s="1463"/>
      <c r="O97" s="1464"/>
      <c r="P97" s="1467"/>
      <c r="Q97" s="1467"/>
      <c r="R97" s="1467"/>
      <c r="S97" s="1467"/>
      <c r="T97" s="1466"/>
      <c r="U97" s="1466"/>
      <c r="V97" s="1466"/>
      <c r="W97" s="1466"/>
      <c r="X97" s="1466"/>
      <c r="Y97" s="655"/>
    </row>
    <row r="98" spans="1:27" ht="36" customHeight="1">
      <c r="A98" s="649"/>
      <c r="B98" s="655"/>
      <c r="C98" s="1465" t="s">
        <v>490</v>
      </c>
      <c r="D98" s="1337"/>
      <c r="E98" s="1337"/>
      <c r="F98" s="1337"/>
      <c r="G98" s="1337"/>
      <c r="H98" s="1337"/>
      <c r="I98" s="1337"/>
      <c r="J98" s="1337"/>
      <c r="K98" s="1337"/>
      <c r="L98" s="1337"/>
      <c r="M98" s="1337"/>
      <c r="N98" s="1337"/>
      <c r="O98" s="1337"/>
      <c r="P98" s="1337"/>
      <c r="Q98" s="1337"/>
      <c r="R98" s="1337"/>
      <c r="S98" s="1337"/>
      <c r="T98" s="1337"/>
      <c r="U98" s="1337"/>
      <c r="V98" s="1337"/>
      <c r="W98" s="1337"/>
      <c r="X98" s="1337"/>
      <c r="Y98" s="655"/>
      <c r="Z98" s="767"/>
    </row>
    <row r="99" spans="1:27" ht="35.25" customHeight="1">
      <c r="A99" s="649"/>
      <c r="B99" s="655"/>
      <c r="C99" s="1451" t="s">
        <v>204</v>
      </c>
      <c r="D99" s="1370"/>
      <c r="E99" s="1370"/>
      <c r="F99" s="1370"/>
      <c r="G99" s="1370"/>
      <c r="H99" s="1370"/>
      <c r="I99" s="1370"/>
      <c r="J99" s="1370"/>
      <c r="K99" s="1370"/>
      <c r="L99" s="1370"/>
      <c r="M99" s="1370"/>
      <c r="N99" s="1370"/>
      <c r="O99" s="1370"/>
      <c r="P99" s="1370"/>
      <c r="Q99" s="1370"/>
      <c r="R99" s="1370"/>
      <c r="S99" s="1370"/>
      <c r="T99" s="1370"/>
      <c r="U99" s="1370"/>
      <c r="V99" s="1370"/>
      <c r="W99" s="1370"/>
      <c r="X99" s="1370"/>
      <c r="Y99" s="655"/>
    </row>
    <row r="100" spans="1:27" s="677" customFormat="1" ht="17.25" customHeight="1">
      <c r="A100" s="672"/>
      <c r="B100" s="673"/>
      <c r="C100" s="678" t="s">
        <v>199</v>
      </c>
      <c r="D100" s="679"/>
      <c r="E100" s="680"/>
      <c r="F100" s="680"/>
      <c r="G100" s="680"/>
      <c r="H100" s="680"/>
      <c r="I100" s="680"/>
      <c r="J100" s="680"/>
      <c r="K100" s="680"/>
      <c r="L100" s="680"/>
      <c r="M100" s="680"/>
      <c r="N100" s="680"/>
      <c r="O100" s="680"/>
      <c r="P100" s="680"/>
      <c r="Q100" s="680"/>
      <c r="R100" s="680"/>
      <c r="S100" s="680"/>
      <c r="T100" s="681">
        <v>0</v>
      </c>
      <c r="U100" s="680"/>
      <c r="V100" s="682"/>
      <c r="W100" s="682"/>
      <c r="X100" s="683"/>
      <c r="Y100" s="655"/>
      <c r="Z100" s="767"/>
    </row>
    <row r="101" spans="1:27" s="19" customFormat="1" ht="12.75">
      <c r="A101" s="17"/>
      <c r="B101" s="17"/>
      <c r="C101" s="17"/>
      <c r="D101" s="86" t="s">
        <v>57</v>
      </c>
      <c r="E101" s="17"/>
      <c r="F101" s="17"/>
      <c r="G101" s="17"/>
      <c r="H101" s="17"/>
      <c r="I101" s="17"/>
      <c r="J101" s="17"/>
      <c r="K101" s="684"/>
      <c r="L101" s="684"/>
      <c r="M101" s="684"/>
      <c r="N101" s="684"/>
      <c r="O101" s="684"/>
      <c r="P101" s="684"/>
      <c r="Q101" s="684"/>
      <c r="R101" s="684"/>
      <c r="S101" s="45"/>
      <c r="T101" s="45">
        <f>ROUND(E32*T100,0)</f>
        <v>0</v>
      </c>
      <c r="U101" s="684"/>
      <c r="V101" s="684"/>
      <c r="W101" s="684"/>
      <c r="X101" s="17"/>
      <c r="Y101" s="17"/>
      <c r="Z101" s="45"/>
    </row>
    <row r="102" spans="1:27" s="19" customFormat="1" ht="4.5" customHeight="1">
      <c r="A102" s="17"/>
      <c r="B102" s="17"/>
      <c r="C102" s="17"/>
      <c r="D102" s="86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45"/>
    </row>
    <row r="103" spans="1:27" s="19" customFormat="1" ht="19.5" customHeight="1">
      <c r="A103" s="17"/>
      <c r="B103" s="17"/>
      <c r="C103" s="17"/>
      <c r="D103" s="24" t="s">
        <v>58</v>
      </c>
      <c r="E103" s="1309" t="s">
        <v>109</v>
      </c>
      <c r="F103" s="1309"/>
      <c r="G103" s="1309"/>
      <c r="H103" s="1309"/>
      <c r="I103" s="1309"/>
      <c r="J103" s="1309"/>
      <c r="K103" s="1309"/>
      <c r="L103" s="1309"/>
      <c r="M103" s="1309"/>
      <c r="N103" s="1309"/>
      <c r="O103" s="1309"/>
      <c r="P103" s="1309"/>
      <c r="Q103" s="1309"/>
      <c r="R103" s="1309"/>
      <c r="S103" s="1309"/>
      <c r="T103" s="1110">
        <f>IF(Q106&lt;=0,0,U103)</f>
        <v>0</v>
      </c>
      <c r="U103" s="1453">
        <f>'Earning- Salary'!N13</f>
        <v>0</v>
      </c>
      <c r="V103" s="1454"/>
      <c r="W103" s="1454"/>
      <c r="X103" s="17"/>
      <c r="Y103" s="17"/>
      <c r="Z103" s="45"/>
    </row>
    <row r="104" spans="1:27" s="19" customFormat="1" ht="20.100000000000001" customHeight="1">
      <c r="A104" s="17"/>
      <c r="B104" s="17"/>
      <c r="C104" s="17"/>
      <c r="D104" s="1317" t="s">
        <v>59</v>
      </c>
      <c r="E104" s="1318" t="s">
        <v>110</v>
      </c>
      <c r="F104" s="1318"/>
      <c r="G104" s="1318"/>
      <c r="H104" s="1318"/>
      <c r="I104" s="1318"/>
      <c r="J104" s="1318"/>
      <c r="K104" s="1318"/>
      <c r="L104" s="1318"/>
      <c r="M104" s="1318"/>
      <c r="N104" s="1318"/>
      <c r="O104" s="1318"/>
      <c r="P104" s="1318"/>
      <c r="Q104" s="1318"/>
      <c r="R104" s="1318"/>
      <c r="S104" s="1318"/>
      <c r="T104" s="1159">
        <f>U104</f>
        <v>0</v>
      </c>
      <c r="U104" s="1453">
        <f>Q106-Q107</f>
        <v>0</v>
      </c>
      <c r="V104" s="1454"/>
      <c r="W104" s="1454"/>
      <c r="X104" s="17"/>
      <c r="Y104" s="17"/>
      <c r="Z104" s="45"/>
    </row>
    <row r="105" spans="1:27" s="19" customFormat="1" ht="20.100000000000001" customHeight="1">
      <c r="A105" s="17"/>
      <c r="B105" s="17"/>
      <c r="C105" s="17"/>
      <c r="D105" s="1317"/>
      <c r="E105" s="1318"/>
      <c r="F105" s="1318"/>
      <c r="G105" s="1318"/>
      <c r="H105" s="1318"/>
      <c r="I105" s="1318"/>
      <c r="J105" s="1318"/>
      <c r="K105" s="1318"/>
      <c r="L105" s="1318"/>
      <c r="M105" s="1318"/>
      <c r="N105" s="1318"/>
      <c r="O105" s="1318"/>
      <c r="P105" s="1318"/>
      <c r="Q105" s="1318"/>
      <c r="R105" s="1318"/>
      <c r="S105" s="1318"/>
      <c r="T105" s="835"/>
      <c r="U105" s="1109"/>
      <c r="V105" s="1109"/>
      <c r="W105" s="1109"/>
      <c r="X105" s="17"/>
      <c r="Y105" s="17"/>
      <c r="Z105" s="45"/>
    </row>
    <row r="106" spans="1:27" s="19" customFormat="1" ht="21" customHeight="1">
      <c r="A106" s="17"/>
      <c r="B106" s="17"/>
      <c r="C106" s="17"/>
      <c r="D106" s="1317"/>
      <c r="E106" s="1322" t="s">
        <v>97</v>
      </c>
      <c r="F106" s="1323"/>
      <c r="G106" s="1323"/>
      <c r="H106" s="1323"/>
      <c r="I106" s="1323"/>
      <c r="J106" s="1323"/>
      <c r="K106" s="1323"/>
      <c r="L106" s="1324"/>
      <c r="M106" s="1322"/>
      <c r="N106" s="1323"/>
      <c r="O106" s="1323"/>
      <c r="P106" s="1324"/>
      <c r="Q106" s="1459">
        <v>0</v>
      </c>
      <c r="R106" s="1460"/>
      <c r="S106" s="1461"/>
      <c r="T106" s="835"/>
      <c r="U106" s="1109"/>
      <c r="V106" s="1109"/>
      <c r="W106" s="1109"/>
      <c r="X106" s="17"/>
      <c r="Y106" s="17"/>
      <c r="Z106" s="45"/>
    </row>
    <row r="107" spans="1:27" s="19" customFormat="1" ht="21" customHeight="1">
      <c r="A107" s="17"/>
      <c r="B107" s="17"/>
      <c r="C107" s="17"/>
      <c r="D107" s="1317"/>
      <c r="E107" s="1322" t="s">
        <v>98</v>
      </c>
      <c r="F107" s="1323"/>
      <c r="G107" s="1323"/>
      <c r="H107" s="1323"/>
      <c r="I107" s="1323"/>
      <c r="J107" s="1323"/>
      <c r="K107" s="1323"/>
      <c r="L107" s="1324"/>
      <c r="M107" s="1322"/>
      <c r="N107" s="1323"/>
      <c r="O107" s="1323"/>
      <c r="P107" s="1324"/>
      <c r="Q107" s="1456">
        <f>IF(Q106&lt;=0,0,U107)</f>
        <v>0</v>
      </c>
      <c r="R107" s="1457"/>
      <c r="S107" s="1458"/>
      <c r="T107" s="836"/>
      <c r="U107" s="1453">
        <f>ROUND(('Earning- Salary'!N6+'Earning- Salary'!N8+'Earning- Salary'!N12)*10%,0)</f>
        <v>72000</v>
      </c>
      <c r="V107" s="1454"/>
      <c r="W107" s="1454"/>
      <c r="X107" s="17"/>
      <c r="Y107" s="17"/>
      <c r="Z107" s="45"/>
    </row>
    <row r="108" spans="1:27" s="19" customFormat="1" ht="21" customHeight="1">
      <c r="A108" s="17"/>
      <c r="B108" s="17"/>
      <c r="C108" s="17"/>
      <c r="D108" s="24" t="s">
        <v>60</v>
      </c>
      <c r="E108" s="1309" t="s">
        <v>99</v>
      </c>
      <c r="F108" s="1309"/>
      <c r="G108" s="1309"/>
      <c r="H108" s="1309"/>
      <c r="I108" s="1309"/>
      <c r="J108" s="1309"/>
      <c r="K108" s="1309"/>
      <c r="L108" s="1309"/>
      <c r="M108" s="1309"/>
      <c r="N108" s="1309"/>
      <c r="O108" s="1309"/>
      <c r="P108" s="1309"/>
      <c r="Q108" s="1309"/>
      <c r="R108" s="1309"/>
      <c r="S108" s="1309"/>
      <c r="T108" s="836">
        <f>IF(Q106&lt;=0,0,U108)</f>
        <v>0</v>
      </c>
      <c r="U108" s="1453">
        <f>ROUND(('Earning- Salary'!N6+'Earning- Salary'!N8+'Earning- Salary'!N12)*50%,0)</f>
        <v>360000</v>
      </c>
      <c r="V108" s="1454"/>
      <c r="W108" s="1454"/>
      <c r="X108" s="17"/>
      <c r="Y108" s="17"/>
      <c r="Z108" s="45"/>
    </row>
    <row r="109" spans="1:27" s="19" customFormat="1" ht="21" customHeight="1">
      <c r="A109" s="17"/>
      <c r="B109" s="17"/>
      <c r="C109" s="17"/>
      <c r="D109" s="24"/>
      <c r="E109" s="1309" t="s">
        <v>602</v>
      </c>
      <c r="F109" s="1309"/>
      <c r="G109" s="1309"/>
      <c r="H109" s="1309"/>
      <c r="I109" s="1309"/>
      <c r="J109" s="1309"/>
      <c r="K109" s="1309"/>
      <c r="L109" s="1309"/>
      <c r="M109" s="1309"/>
      <c r="N109" s="1309"/>
      <c r="O109" s="1309"/>
      <c r="P109" s="1309"/>
      <c r="Q109" s="1309"/>
      <c r="R109" s="1309"/>
      <c r="S109" s="1309"/>
      <c r="T109" s="836">
        <f>IF(T104&lt;=0,0,U109)</f>
        <v>0</v>
      </c>
      <c r="U109" s="1433">
        <f>MIN(T103:T108)</f>
        <v>0</v>
      </c>
      <c r="V109" s="1434"/>
      <c r="W109" s="1434"/>
      <c r="X109" s="17"/>
      <c r="Y109" s="17"/>
      <c r="Z109" s="45"/>
    </row>
    <row r="110" spans="1:27" s="19" customFormat="1" ht="12.7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45"/>
    </row>
    <row r="111" spans="1:27" ht="21" customHeight="1">
      <c r="A111" s="649"/>
      <c r="B111" s="655"/>
      <c r="C111" s="691"/>
      <c r="D111" s="691"/>
      <c r="E111" s="1439" t="s">
        <v>480</v>
      </c>
      <c r="F111" s="1440"/>
      <c r="G111" s="1440"/>
      <c r="H111" s="1440"/>
      <c r="I111" s="1440"/>
      <c r="J111" s="1440"/>
      <c r="K111" s="1440"/>
      <c r="L111" s="1440"/>
      <c r="M111" s="1440"/>
      <c r="N111" s="1440"/>
      <c r="O111" s="1440"/>
      <c r="P111" s="1440"/>
      <c r="Q111" s="1440"/>
      <c r="R111" s="1440"/>
      <c r="S111" s="1440"/>
      <c r="T111" s="1440"/>
      <c r="U111" s="1440"/>
      <c r="V111" s="1440"/>
      <c r="W111" s="1441"/>
      <c r="X111" s="691"/>
      <c r="Y111" s="655"/>
      <c r="Z111" s="776"/>
      <c r="AA111" s="677"/>
    </row>
    <row r="112" spans="1:27" ht="21" customHeight="1">
      <c r="A112" s="649"/>
      <c r="B112" s="655"/>
      <c r="C112" s="692" t="s">
        <v>441</v>
      </c>
      <c r="D112" s="691"/>
      <c r="E112" s="1442"/>
      <c r="F112" s="1443"/>
      <c r="G112" s="1443"/>
      <c r="H112" s="1443"/>
      <c r="I112" s="1443"/>
      <c r="J112" s="1443"/>
      <c r="K112" s="1443"/>
      <c r="L112" s="1443"/>
      <c r="M112" s="1443"/>
      <c r="N112" s="1443"/>
      <c r="O112" s="1443"/>
      <c r="P112" s="1443"/>
      <c r="Q112" s="1443"/>
      <c r="R112" s="1443"/>
      <c r="S112" s="1443"/>
      <c r="T112" s="1443"/>
      <c r="U112" s="1443"/>
      <c r="V112" s="1443"/>
      <c r="W112" s="1444"/>
      <c r="X112" s="691"/>
      <c r="Y112" s="655"/>
      <c r="Z112" s="776"/>
      <c r="AA112" s="677"/>
    </row>
    <row r="113" spans="1:27" ht="21" customHeight="1">
      <c r="A113" s="649"/>
      <c r="B113" s="655"/>
      <c r="C113" s="692" t="s">
        <v>442</v>
      </c>
      <c r="D113" s="691"/>
      <c r="E113" s="1445"/>
      <c r="F113" s="1446"/>
      <c r="G113" s="1446"/>
      <c r="H113" s="1446"/>
      <c r="I113" s="1446"/>
      <c r="J113" s="1446"/>
      <c r="K113" s="1446"/>
      <c r="L113" s="1446"/>
      <c r="M113" s="1446"/>
      <c r="N113" s="1446"/>
      <c r="O113" s="1446"/>
      <c r="P113" s="1446"/>
      <c r="Q113" s="1446"/>
      <c r="R113" s="1446"/>
      <c r="S113" s="1446"/>
      <c r="T113" s="1446"/>
      <c r="U113" s="1446"/>
      <c r="V113" s="1446"/>
      <c r="W113" s="1447"/>
      <c r="X113" s="691"/>
      <c r="Y113" s="655"/>
      <c r="Z113" s="776"/>
      <c r="AA113" s="677"/>
    </row>
    <row r="114" spans="1:27" ht="21" customHeight="1">
      <c r="A114" s="649"/>
      <c r="B114" s="655"/>
      <c r="C114" s="693"/>
      <c r="D114" s="694"/>
      <c r="E114" s="828" t="s">
        <v>489</v>
      </c>
      <c r="F114" s="829"/>
      <c r="G114" s="829"/>
      <c r="H114" s="829"/>
      <c r="I114" s="829"/>
      <c r="J114" s="829"/>
      <c r="K114" s="829"/>
      <c r="L114" s="829"/>
      <c r="M114" s="830"/>
      <c r="N114" s="831"/>
      <c r="O114" s="802"/>
      <c r="P114" s="832" t="s">
        <v>441</v>
      </c>
      <c r="Q114" s="803"/>
      <c r="R114" s="803"/>
      <c r="S114" s="803"/>
      <c r="T114" s="803"/>
      <c r="U114" s="803"/>
      <c r="V114" s="803"/>
      <c r="W114" s="803"/>
      <c r="X114" s="803"/>
      <c r="Y114" s="655"/>
      <c r="Z114" s="775"/>
    </row>
    <row r="115" spans="1:27" ht="3.75" customHeight="1">
      <c r="A115" s="672"/>
      <c r="B115" s="673"/>
      <c r="C115" s="691"/>
      <c r="D115" s="696"/>
      <c r="E115" s="697"/>
      <c r="F115" s="697"/>
      <c r="G115" s="697"/>
      <c r="H115" s="697"/>
      <c r="I115" s="697"/>
      <c r="J115" s="697"/>
      <c r="K115" s="697"/>
      <c r="L115" s="697"/>
      <c r="M115" s="697"/>
      <c r="N115" s="697"/>
      <c r="O115" s="697"/>
      <c r="P115" s="697"/>
      <c r="Q115" s="697"/>
      <c r="R115" s="697"/>
      <c r="S115" s="697"/>
      <c r="T115" s="697"/>
      <c r="U115" s="697"/>
      <c r="V115" s="697"/>
      <c r="W115" s="697"/>
      <c r="X115" s="697"/>
      <c r="Y115" s="655"/>
      <c r="Z115" s="775"/>
    </row>
    <row r="116" spans="1:27" ht="21" customHeight="1">
      <c r="A116" s="672"/>
      <c r="B116" s="673"/>
      <c r="C116" s="698" t="s">
        <v>291</v>
      </c>
      <c r="D116" s="699"/>
      <c r="E116" s="700"/>
      <c r="F116" s="700"/>
      <c r="G116" s="700"/>
      <c r="H116" s="422" t="s">
        <v>96</v>
      </c>
      <c r="I116" s="422"/>
      <c r="J116" s="701"/>
      <c r="K116" s="701"/>
      <c r="L116" s="701"/>
      <c r="M116" s="701"/>
      <c r="N116" s="701"/>
      <c r="O116" s="701"/>
      <c r="P116" s="701"/>
      <c r="Q116" s="701"/>
      <c r="R116" s="701"/>
      <c r="S116" s="424"/>
      <c r="T116" s="425"/>
      <c r="U116" s="649"/>
      <c r="V116" s="649"/>
      <c r="W116" s="683"/>
      <c r="X116" s="683"/>
      <c r="Y116" s="655"/>
      <c r="Z116" s="775"/>
    </row>
    <row r="117" spans="1:27" ht="21" customHeight="1">
      <c r="A117" s="672"/>
      <c r="B117" s="673"/>
      <c r="C117" s="702"/>
      <c r="D117" s="103"/>
      <c r="E117" s="703"/>
      <c r="F117" s="703"/>
      <c r="G117" s="703"/>
      <c r="H117" s="22"/>
      <c r="I117" s="22"/>
      <c r="J117" s="704"/>
      <c r="K117" s="704"/>
      <c r="L117" s="704"/>
      <c r="M117" s="704"/>
      <c r="N117" s="704"/>
      <c r="O117" s="704"/>
      <c r="P117" s="704"/>
      <c r="Q117" s="704"/>
      <c r="R117" s="705" t="s">
        <v>364</v>
      </c>
      <c r="S117" s="1373">
        <v>42270</v>
      </c>
      <c r="T117" s="1374"/>
      <c r="U117" s="1448" t="s">
        <v>316</v>
      </c>
      <c r="V117" s="1449"/>
      <c r="W117" s="1449"/>
      <c r="X117" s="1449"/>
      <c r="Y117" s="655"/>
      <c r="Z117" s="775"/>
    </row>
    <row r="118" spans="1:27" ht="21" customHeight="1">
      <c r="A118" s="649"/>
      <c r="B118" s="655"/>
      <c r="C118" s="706"/>
      <c r="D118" s="707"/>
      <c r="E118" s="708"/>
      <c r="F118" s="708"/>
      <c r="G118" s="708"/>
      <c r="H118" s="708"/>
      <c r="I118" s="708"/>
      <c r="J118" s="708"/>
      <c r="K118" s="708"/>
      <c r="L118" s="708"/>
      <c r="M118" s="708"/>
      <c r="N118" s="708"/>
      <c r="O118" s="708"/>
      <c r="P118" s="708"/>
      <c r="Q118" s="709"/>
      <c r="R118" s="710" t="s">
        <v>360</v>
      </c>
      <c r="S118" s="1435">
        <v>13000</v>
      </c>
      <c r="T118" s="1436"/>
      <c r="U118" s="649"/>
      <c r="V118" s="23"/>
      <c r="W118" s="655"/>
      <c r="X118" s="655"/>
      <c r="Y118" s="655"/>
      <c r="Z118" s="775"/>
    </row>
    <row r="119" spans="1:27" ht="18" customHeight="1">
      <c r="A119" s="649"/>
      <c r="B119" s="655"/>
      <c r="C119" s="693"/>
      <c r="D119" s="693"/>
      <c r="E119" s="711"/>
      <c r="F119" s="711"/>
      <c r="G119" s="711"/>
      <c r="H119" s="711"/>
      <c r="I119" s="711"/>
      <c r="J119" s="711"/>
      <c r="K119" s="711"/>
      <c r="L119" s="711"/>
      <c r="M119" s="711"/>
      <c r="N119" s="711"/>
      <c r="O119" s="711"/>
      <c r="P119" s="711"/>
      <c r="Q119" s="712"/>
      <c r="R119" s="45">
        <f>S118+'Earning- Salary'!N33</f>
        <v>13000</v>
      </c>
      <c r="S119" s="45">
        <f>IF(P114="Yes",200000,IF(AND(T119&gt;=1,T119&lt;36251),30000,IF(AND(T119&gt;=36251,T119&lt;42731),150000,IF(AND(T119=0,),0,))))</f>
        <v>200000</v>
      </c>
      <c r="T119" s="601">
        <f>S117</f>
        <v>42270</v>
      </c>
      <c r="U119" s="45">
        <f>MIN(S119,R119)</f>
        <v>13000</v>
      </c>
      <c r="V119" s="45"/>
      <c r="W119" s="693"/>
      <c r="X119" s="693"/>
      <c r="Y119" s="655"/>
      <c r="Z119" s="775"/>
    </row>
    <row r="120" spans="1:27" ht="21" customHeight="1">
      <c r="A120" s="672"/>
      <c r="B120" s="673"/>
      <c r="C120" s="419" t="s">
        <v>206</v>
      </c>
      <c r="D120" s="717"/>
      <c r="E120" s="717"/>
      <c r="F120" s="717"/>
      <c r="G120" s="717"/>
      <c r="H120" s="717"/>
      <c r="I120" s="717"/>
      <c r="J120" s="717"/>
      <c r="K120" s="717"/>
      <c r="L120" s="717"/>
      <c r="M120" s="717"/>
      <c r="N120" s="717"/>
      <c r="O120" s="717"/>
      <c r="P120" s="717"/>
      <c r="Q120" s="717"/>
      <c r="R120" s="717"/>
      <c r="S120" s="717"/>
      <c r="T120" s="751"/>
      <c r="U120" s="1450">
        <f>16789+1400</f>
        <v>18189</v>
      </c>
      <c r="V120" s="1450"/>
      <c r="W120" s="1450"/>
      <c r="X120" s="673"/>
      <c r="Y120" s="649"/>
      <c r="Z120" s="775"/>
    </row>
    <row r="121" spans="1:27" ht="21" customHeight="1">
      <c r="A121" s="649"/>
      <c r="B121" s="655"/>
      <c r="C121" s="655"/>
      <c r="D121" s="752"/>
      <c r="E121" s="655"/>
      <c r="F121" s="655"/>
      <c r="G121" s="655"/>
      <c r="H121" s="655"/>
      <c r="I121" s="655"/>
      <c r="J121" s="655"/>
      <c r="K121" s="655"/>
      <c r="L121" s="655"/>
      <c r="M121" s="753"/>
      <c r="N121" s="753"/>
      <c r="O121" s="753"/>
      <c r="P121" s="753"/>
      <c r="Q121" s="655"/>
      <c r="R121" s="655"/>
      <c r="S121" s="655"/>
      <c r="T121" s="655"/>
      <c r="U121" s="655"/>
      <c r="V121" s="655"/>
      <c r="W121" s="655"/>
      <c r="X121" s="655"/>
      <c r="Y121" s="655"/>
      <c r="Z121" s="775"/>
    </row>
    <row r="122" spans="1:27" ht="21.75" customHeight="1">
      <c r="A122" s="649"/>
      <c r="B122" s="655"/>
      <c r="C122" s="655"/>
      <c r="D122" s="754" t="s">
        <v>159</v>
      </c>
      <c r="E122" s="1452" t="str">
        <f>'Master Deails'!B26</f>
        <v>AHWA</v>
      </c>
      <c r="F122" s="1452"/>
      <c r="G122" s="1452"/>
      <c r="H122" s="1452"/>
      <c r="I122" s="1452"/>
      <c r="J122" s="1452"/>
      <c r="K122" s="655" t="s">
        <v>78</v>
      </c>
      <c r="L122" s="655"/>
      <c r="M122" s="655"/>
      <c r="N122" s="1437"/>
      <c r="O122" s="1437"/>
      <c r="P122" s="1437"/>
      <c r="Q122" s="1437"/>
      <c r="R122" s="1437"/>
      <c r="S122" s="655"/>
      <c r="T122" s="1437"/>
      <c r="U122" s="1437"/>
      <c r="V122" s="1437"/>
      <c r="W122" s="1437"/>
      <c r="X122" s="1437"/>
      <c r="Y122" s="655"/>
      <c r="Z122" s="775"/>
    </row>
    <row r="123" spans="1:27" ht="21.75" customHeight="1">
      <c r="A123" s="649"/>
      <c r="B123" s="655"/>
      <c r="C123" s="655"/>
      <c r="D123" s="754" t="s">
        <v>160</v>
      </c>
      <c r="E123" s="1438">
        <f ca="1">TODAY()</f>
        <v>44729</v>
      </c>
      <c r="F123" s="1438"/>
      <c r="G123" s="1438"/>
      <c r="H123" s="1438"/>
      <c r="I123" s="1438"/>
      <c r="J123" s="1438"/>
      <c r="K123" s="655" t="s">
        <v>63</v>
      </c>
      <c r="L123" s="655"/>
      <c r="M123" s="655" t="str">
        <f>'Master Deails'!A7</f>
        <v>SHRI K J PATEL</v>
      </c>
      <c r="N123" s="655"/>
      <c r="O123" s="655"/>
      <c r="P123" s="655"/>
      <c r="Q123" s="655"/>
      <c r="R123" s="655"/>
      <c r="S123" s="1437"/>
      <c r="T123" s="1437"/>
      <c r="U123" s="1437"/>
      <c r="V123" s="1437"/>
      <c r="W123" s="1437"/>
      <c r="X123" s="1437"/>
      <c r="Y123" s="655"/>
      <c r="Z123" s="775"/>
    </row>
    <row r="124" spans="1:27" ht="21.75" customHeight="1">
      <c r="A124" s="649"/>
      <c r="B124" s="655"/>
      <c r="C124" s="655"/>
      <c r="D124" s="752"/>
      <c r="E124" s="655"/>
      <c r="F124" s="655"/>
      <c r="G124" s="655"/>
      <c r="H124" s="655"/>
      <c r="I124" s="655"/>
      <c r="J124" s="655"/>
      <c r="K124" s="655" t="s">
        <v>93</v>
      </c>
      <c r="L124" s="655"/>
      <c r="M124" s="655"/>
      <c r="N124" s="655" t="str">
        <f>'Master Deails'!A18</f>
        <v>RETIRED PS 2 DDO DANGS</v>
      </c>
      <c r="O124" s="655"/>
      <c r="P124" s="655"/>
      <c r="Q124" s="655"/>
      <c r="R124" s="655"/>
      <c r="S124" s="655"/>
      <c r="T124" s="1437"/>
      <c r="U124" s="1437"/>
      <c r="V124" s="1437"/>
      <c r="W124" s="1437"/>
      <c r="X124" s="1437"/>
      <c r="Y124" s="655"/>
      <c r="Z124" s="775"/>
    </row>
    <row r="125" spans="1:27" ht="21.75" hidden="1" customHeight="1">
      <c r="A125" s="649"/>
      <c r="B125" s="655"/>
      <c r="C125" s="655"/>
      <c r="D125" s="752"/>
      <c r="E125" s="655"/>
      <c r="F125" s="655"/>
      <c r="G125" s="655"/>
      <c r="H125" s="655"/>
      <c r="I125" s="655"/>
      <c r="J125" s="755"/>
      <c r="K125" s="755"/>
      <c r="L125" s="755"/>
      <c r="M125" s="755"/>
      <c r="N125" s="755"/>
      <c r="O125" s="755"/>
      <c r="P125" s="753"/>
      <c r="Q125" s="655"/>
      <c r="R125" s="655"/>
      <c r="S125" s="655"/>
      <c r="T125" s="655"/>
      <c r="U125" s="655"/>
      <c r="V125" s="655"/>
      <c r="W125" s="655"/>
      <c r="X125" s="655"/>
      <c r="Y125" s="655"/>
      <c r="Z125" s="775"/>
    </row>
    <row r="126" spans="1:27" ht="21.75" hidden="1" customHeight="1">
      <c r="A126" s="649"/>
      <c r="B126" s="655"/>
      <c r="C126" s="655"/>
      <c r="D126" s="752"/>
      <c r="E126" s="655"/>
      <c r="F126" s="655"/>
      <c r="G126" s="655"/>
      <c r="H126" s="655"/>
      <c r="I126" s="655"/>
      <c r="J126" s="755"/>
      <c r="K126" s="755"/>
      <c r="L126" s="755"/>
      <c r="M126" s="755"/>
      <c r="N126" s="755"/>
      <c r="O126" s="755"/>
      <c r="P126" s="753"/>
      <c r="Q126" s="655"/>
      <c r="R126" s="655"/>
      <c r="S126" s="655"/>
      <c r="T126" s="655"/>
      <c r="U126" s="655"/>
      <c r="V126" s="655"/>
      <c r="W126" s="655"/>
      <c r="X126" s="655"/>
      <c r="Y126" s="655"/>
      <c r="Z126" s="775"/>
    </row>
    <row r="127" spans="1:27" ht="21.75" hidden="1" customHeight="1">
      <c r="A127" s="649"/>
      <c r="B127" s="655"/>
      <c r="C127" s="655"/>
      <c r="D127" s="655"/>
      <c r="E127" s="655"/>
      <c r="F127" s="655"/>
      <c r="G127" s="655"/>
      <c r="H127" s="655"/>
      <c r="I127" s="655"/>
      <c r="J127" s="655"/>
      <c r="K127" s="655"/>
      <c r="L127" s="655"/>
      <c r="M127" s="655"/>
      <c r="N127" s="655"/>
      <c r="O127" s="655"/>
      <c r="P127" s="655"/>
      <c r="Q127" s="655"/>
      <c r="R127" s="655"/>
      <c r="S127" s="655"/>
      <c r="T127" s="655"/>
      <c r="U127" s="655"/>
      <c r="V127" s="655"/>
      <c r="W127" s="655"/>
      <c r="X127" s="655"/>
      <c r="Y127" s="649"/>
      <c r="Z127" s="775"/>
    </row>
    <row r="128" spans="1:27" ht="21.75" hidden="1" customHeight="1">
      <c r="A128" s="649"/>
      <c r="B128" s="655"/>
      <c r="C128" s="156"/>
      <c r="D128" s="713"/>
      <c r="E128" s="713"/>
      <c r="F128" s="713"/>
      <c r="G128" s="713"/>
      <c r="H128" s="713"/>
      <c r="I128" s="713"/>
      <c r="J128" s="713"/>
      <c r="K128" s="713"/>
      <c r="L128" s="713"/>
      <c r="M128" s="713"/>
      <c r="N128" s="713"/>
      <c r="O128" s="713"/>
      <c r="P128" s="713"/>
      <c r="Q128" s="756"/>
      <c r="R128" s="713"/>
      <c r="S128" s="713"/>
      <c r="T128" s="713"/>
      <c r="U128" s="713"/>
      <c r="V128" s="713"/>
      <c r="W128" s="713"/>
      <c r="X128" s="713"/>
      <c r="Y128" s="655"/>
      <c r="Z128" s="775"/>
    </row>
    <row r="129" spans="1:26" s="677" customFormat="1" ht="21.75" hidden="1" customHeight="1">
      <c r="A129" s="649"/>
      <c r="B129" s="649"/>
      <c r="C129" s="655"/>
      <c r="D129" s="655"/>
      <c r="E129" s="655"/>
      <c r="F129" s="655"/>
      <c r="G129" s="655"/>
      <c r="H129" s="655"/>
      <c r="I129" s="655"/>
      <c r="J129" s="655"/>
      <c r="K129" s="655"/>
      <c r="L129" s="655"/>
      <c r="M129" s="655"/>
      <c r="N129" s="655"/>
      <c r="O129" s="655"/>
      <c r="P129" s="655"/>
      <c r="Q129" s="655"/>
      <c r="R129" s="655"/>
      <c r="S129" s="655"/>
      <c r="T129" s="655"/>
      <c r="U129" s="655"/>
      <c r="V129" s="655"/>
      <c r="W129" s="655"/>
      <c r="X129" s="655"/>
      <c r="Y129" s="655"/>
      <c r="Z129" s="776"/>
    </row>
    <row r="130" spans="1:26" s="760" customFormat="1" ht="21.75" hidden="1" customHeight="1">
      <c r="A130" s="757"/>
      <c r="B130" s="757"/>
      <c r="C130" s="758"/>
      <c r="D130" s="759"/>
      <c r="E130" s="759"/>
      <c r="F130" s="1430"/>
      <c r="G130" s="1430"/>
      <c r="H130" s="1430"/>
      <c r="I130" s="1430"/>
      <c r="J130" s="1430"/>
      <c r="K130" s="1430"/>
      <c r="L130" s="1430"/>
      <c r="M130" s="1430"/>
      <c r="N130" s="1430"/>
      <c r="O130" s="1430"/>
      <c r="P130" s="1430"/>
      <c r="Q130" s="1430"/>
      <c r="R130" s="1430"/>
      <c r="S130" s="1430"/>
      <c r="T130" s="1430"/>
      <c r="U130" s="1430"/>
      <c r="V130" s="1430"/>
      <c r="W130" s="1430"/>
      <c r="X130" s="1430"/>
      <c r="Y130" s="1430"/>
      <c r="Z130" s="777"/>
    </row>
    <row r="131" spans="1:26" s="760" customFormat="1" ht="21.75" hidden="1" customHeight="1">
      <c r="A131" s="757"/>
      <c r="B131" s="757"/>
      <c r="C131" s="758"/>
      <c r="D131" s="761"/>
      <c r="E131" s="761"/>
      <c r="F131" s="1432"/>
      <c r="G131" s="1432"/>
      <c r="H131" s="1432"/>
      <c r="I131" s="1431"/>
      <c r="J131" s="1431"/>
      <c r="K131" s="1431"/>
      <c r="L131" s="1431"/>
      <c r="M131" s="1431"/>
      <c r="N131" s="1431"/>
      <c r="O131" s="1431"/>
      <c r="P131" s="1431"/>
      <c r="Q131" s="1431"/>
      <c r="R131" s="1431"/>
      <c r="S131" s="1431"/>
      <c r="T131" s="1431"/>
      <c r="U131" s="1428"/>
      <c r="V131" s="1428"/>
      <c r="W131" s="1428"/>
      <c r="X131" s="1428"/>
      <c r="Y131" s="1428"/>
      <c r="Z131" s="778"/>
    </row>
    <row r="132" spans="1:26" s="760" customFormat="1" ht="21.75" hidden="1" customHeight="1">
      <c r="A132" s="757"/>
      <c r="B132" s="757"/>
      <c r="C132" s="758"/>
      <c r="D132" s="761"/>
      <c r="E132" s="761"/>
      <c r="F132" s="1432"/>
      <c r="G132" s="1432"/>
      <c r="H132" s="1432"/>
      <c r="I132" s="1431"/>
      <c r="J132" s="1431"/>
      <c r="K132" s="1431"/>
      <c r="L132" s="1431"/>
      <c r="M132" s="1431"/>
      <c r="N132" s="1431"/>
      <c r="O132" s="1431"/>
      <c r="P132" s="1431"/>
      <c r="Q132" s="1431"/>
      <c r="R132" s="1431"/>
      <c r="S132" s="1431"/>
      <c r="T132" s="1431"/>
      <c r="U132" s="1428"/>
      <c r="V132" s="1428"/>
      <c r="W132" s="1428"/>
      <c r="X132" s="1428"/>
      <c r="Y132" s="1428"/>
      <c r="Z132" s="778"/>
    </row>
    <row r="133" spans="1:26" s="760" customFormat="1" ht="21.75" hidden="1" customHeight="1">
      <c r="A133" s="757"/>
      <c r="B133" s="757"/>
      <c r="C133" s="758"/>
      <c r="D133" s="761"/>
      <c r="E133" s="761"/>
      <c r="F133" s="1432"/>
      <c r="G133" s="1432"/>
      <c r="H133" s="1432"/>
      <c r="I133" s="1431"/>
      <c r="J133" s="1431"/>
      <c r="K133" s="1431"/>
      <c r="L133" s="1431"/>
      <c r="M133" s="1431"/>
      <c r="N133" s="1431"/>
      <c r="O133" s="1431"/>
      <c r="P133" s="1431"/>
      <c r="Q133" s="1431"/>
      <c r="R133" s="1431"/>
      <c r="S133" s="1431"/>
      <c r="T133" s="1431"/>
      <c r="U133" s="1428"/>
      <c r="V133" s="1428"/>
      <c r="W133" s="1428"/>
      <c r="X133" s="1428"/>
      <c r="Y133" s="1428"/>
      <c r="Z133" s="778"/>
    </row>
    <row r="134" spans="1:26" s="760" customFormat="1" ht="21.75" hidden="1" customHeight="1">
      <c r="A134" s="757"/>
      <c r="B134" s="757"/>
      <c r="C134" s="758"/>
      <c r="D134" s="761"/>
      <c r="E134" s="761"/>
      <c r="F134" s="1432"/>
      <c r="G134" s="1432"/>
      <c r="H134" s="1432"/>
      <c r="I134" s="1431"/>
      <c r="J134" s="1431"/>
      <c r="K134" s="1431"/>
      <c r="L134" s="1431"/>
      <c r="M134" s="1431"/>
      <c r="N134" s="1431"/>
      <c r="O134" s="1431"/>
      <c r="P134" s="1431"/>
      <c r="Q134" s="1431"/>
      <c r="R134" s="1431"/>
      <c r="S134" s="1431"/>
      <c r="T134" s="1431"/>
      <c r="U134" s="1428"/>
      <c r="V134" s="1428"/>
      <c r="W134" s="1428"/>
      <c r="X134" s="1428"/>
      <c r="Y134" s="1428"/>
      <c r="Z134" s="778"/>
    </row>
    <row r="135" spans="1:26" s="760" customFormat="1" ht="21.75" hidden="1" customHeight="1">
      <c r="A135" s="757"/>
      <c r="B135" s="757"/>
      <c r="C135" s="758"/>
      <c r="D135" s="761"/>
      <c r="E135" s="761"/>
      <c r="F135" s="1432"/>
      <c r="G135" s="1432"/>
      <c r="H135" s="1432"/>
      <c r="I135" s="1431"/>
      <c r="J135" s="1431"/>
      <c r="K135" s="1431"/>
      <c r="L135" s="1431"/>
      <c r="M135" s="1431"/>
      <c r="N135" s="1431"/>
      <c r="O135" s="1431"/>
      <c r="P135" s="1431"/>
      <c r="Q135" s="1431"/>
      <c r="R135" s="1431"/>
      <c r="S135" s="1431"/>
      <c r="T135" s="1431"/>
      <c r="U135" s="1428"/>
      <c r="V135" s="1428"/>
      <c r="W135" s="1428"/>
      <c r="X135" s="1428"/>
      <c r="Y135" s="1428"/>
      <c r="Z135" s="778"/>
    </row>
    <row r="136" spans="1:26" s="760" customFormat="1" ht="21.75" hidden="1" customHeight="1">
      <c r="A136" s="757"/>
      <c r="B136" s="757"/>
      <c r="C136" s="758"/>
      <c r="D136" s="761"/>
      <c r="E136" s="761"/>
      <c r="F136" s="1432"/>
      <c r="G136" s="1432"/>
      <c r="H136" s="1432"/>
      <c r="I136" s="1431"/>
      <c r="J136" s="1431"/>
      <c r="K136" s="1431"/>
      <c r="L136" s="1431"/>
      <c r="M136" s="1431"/>
      <c r="N136" s="1431"/>
      <c r="O136" s="1431"/>
      <c r="P136" s="1431"/>
      <c r="Q136" s="1431"/>
      <c r="R136" s="1431"/>
      <c r="S136" s="1431"/>
      <c r="T136" s="1431"/>
      <c r="U136" s="1428"/>
      <c r="V136" s="1428"/>
      <c r="W136" s="1428"/>
      <c r="X136" s="1428"/>
      <c r="Y136" s="1428"/>
      <c r="Z136" s="778"/>
    </row>
    <row r="137" spans="1:26" s="760" customFormat="1" ht="21.75" hidden="1" customHeight="1">
      <c r="A137" s="757"/>
      <c r="B137" s="757"/>
      <c r="C137" s="758"/>
      <c r="D137" s="761"/>
      <c r="E137" s="761"/>
      <c r="F137" s="1432"/>
      <c r="G137" s="1432"/>
      <c r="H137" s="1432"/>
      <c r="I137" s="1431"/>
      <c r="J137" s="1431"/>
      <c r="K137" s="1431"/>
      <c r="L137" s="1431"/>
      <c r="M137" s="1431"/>
      <c r="N137" s="1431"/>
      <c r="O137" s="1431"/>
      <c r="P137" s="1431"/>
      <c r="Q137" s="1431"/>
      <c r="R137" s="1431"/>
      <c r="S137" s="1431"/>
      <c r="T137" s="1431"/>
      <c r="U137" s="1428"/>
      <c r="V137" s="1428"/>
      <c r="W137" s="1428"/>
      <c r="X137" s="1428"/>
      <c r="Y137" s="1428"/>
      <c r="Z137" s="778"/>
    </row>
    <row r="138" spans="1:26" s="760" customFormat="1" ht="21.75" hidden="1" customHeight="1">
      <c r="A138" s="757"/>
      <c r="B138" s="757"/>
      <c r="C138" s="758"/>
      <c r="D138" s="761"/>
      <c r="E138" s="761"/>
      <c r="F138" s="1432"/>
      <c r="G138" s="1432"/>
      <c r="H138" s="1432"/>
      <c r="I138" s="1431"/>
      <c r="J138" s="1431"/>
      <c r="K138" s="1431"/>
      <c r="L138" s="1431"/>
      <c r="M138" s="1431"/>
      <c r="N138" s="1431"/>
      <c r="O138" s="1431"/>
      <c r="P138" s="1431"/>
      <c r="Q138" s="1431"/>
      <c r="R138" s="1431"/>
      <c r="S138" s="1431"/>
      <c r="T138" s="1431"/>
      <c r="U138" s="1428"/>
      <c r="V138" s="1428"/>
      <c r="W138" s="1428"/>
      <c r="X138" s="1428"/>
      <c r="Y138" s="1428"/>
      <c r="Z138" s="778"/>
    </row>
    <row r="139" spans="1:26" s="760" customFormat="1" ht="21.75" hidden="1" customHeight="1">
      <c r="A139" s="757"/>
      <c r="B139" s="757"/>
      <c r="C139" s="758"/>
      <c r="D139" s="761"/>
      <c r="E139" s="761"/>
      <c r="F139" s="1432"/>
      <c r="G139" s="1432"/>
      <c r="H139" s="1432"/>
      <c r="I139" s="1431"/>
      <c r="J139" s="1431"/>
      <c r="K139" s="1431"/>
      <c r="L139" s="1431"/>
      <c r="M139" s="1431"/>
      <c r="N139" s="1431"/>
      <c r="O139" s="1431"/>
      <c r="P139" s="1431"/>
      <c r="Q139" s="1431"/>
      <c r="R139" s="1431"/>
      <c r="S139" s="1431"/>
      <c r="T139" s="1431"/>
      <c r="U139" s="1428"/>
      <c r="V139" s="1428"/>
      <c r="W139" s="1428"/>
      <c r="X139" s="1428"/>
      <c r="Y139" s="1428"/>
      <c r="Z139" s="778"/>
    </row>
    <row r="140" spans="1:26" s="760" customFormat="1" ht="21.75" hidden="1" customHeight="1">
      <c r="A140" s="757"/>
      <c r="B140" s="757"/>
      <c r="C140" s="758"/>
      <c r="D140" s="761"/>
      <c r="E140" s="761"/>
      <c r="F140" s="1432"/>
      <c r="G140" s="1432"/>
      <c r="H140" s="1432"/>
      <c r="I140" s="1431"/>
      <c r="J140" s="1431"/>
      <c r="K140" s="1431"/>
      <c r="L140" s="1431"/>
      <c r="M140" s="1431"/>
      <c r="N140" s="1431"/>
      <c r="O140" s="1431"/>
      <c r="P140" s="1431"/>
      <c r="Q140" s="1431"/>
      <c r="R140" s="1431"/>
      <c r="S140" s="1431"/>
      <c r="T140" s="1431"/>
      <c r="U140" s="1428"/>
      <c r="V140" s="1428"/>
      <c r="W140" s="1428"/>
      <c r="X140" s="1428"/>
      <c r="Y140" s="1428"/>
      <c r="Z140" s="778"/>
    </row>
    <row r="141" spans="1:26" s="760" customFormat="1" ht="21.75" hidden="1" customHeight="1">
      <c r="A141" s="757"/>
      <c r="B141" s="757"/>
      <c r="C141" s="758"/>
      <c r="D141" s="761"/>
      <c r="E141" s="761"/>
      <c r="F141" s="1432"/>
      <c r="G141" s="1432"/>
      <c r="H141" s="1432"/>
      <c r="I141" s="1431"/>
      <c r="J141" s="1431"/>
      <c r="K141" s="1431"/>
      <c r="L141" s="1431"/>
      <c r="M141" s="1431"/>
      <c r="N141" s="1431"/>
      <c r="O141" s="1431"/>
      <c r="P141" s="1431"/>
      <c r="Q141" s="1431"/>
      <c r="R141" s="1431"/>
      <c r="S141" s="1431"/>
      <c r="T141" s="1431"/>
      <c r="U141" s="1428"/>
      <c r="V141" s="1428"/>
      <c r="W141" s="1428"/>
      <c r="X141" s="1428"/>
      <c r="Y141" s="1428"/>
      <c r="Z141" s="778"/>
    </row>
    <row r="142" spans="1:26" s="760" customFormat="1" ht="21.75" hidden="1" customHeight="1">
      <c r="A142" s="757"/>
      <c r="B142" s="757"/>
      <c r="C142" s="758"/>
      <c r="D142" s="761"/>
      <c r="E142" s="761"/>
      <c r="F142" s="1432"/>
      <c r="G142" s="1432"/>
      <c r="H142" s="1432"/>
      <c r="I142" s="1431"/>
      <c r="J142" s="1431"/>
      <c r="K142" s="1431"/>
      <c r="L142" s="1431"/>
      <c r="M142" s="1431"/>
      <c r="N142" s="1431"/>
      <c r="O142" s="1431"/>
      <c r="P142" s="1431"/>
      <c r="Q142" s="1431"/>
      <c r="R142" s="1431"/>
      <c r="S142" s="1431"/>
      <c r="T142" s="1431"/>
      <c r="U142" s="1428"/>
      <c r="V142" s="1428"/>
      <c r="W142" s="1428"/>
      <c r="X142" s="1428"/>
      <c r="Y142" s="1428"/>
      <c r="Z142" s="778"/>
    </row>
    <row r="143" spans="1:26" s="760" customFormat="1" ht="21.75" hidden="1" customHeight="1">
      <c r="A143" s="757"/>
      <c r="B143" s="757"/>
      <c r="C143" s="758"/>
      <c r="D143" s="761"/>
      <c r="E143" s="761"/>
      <c r="F143" s="1432"/>
      <c r="G143" s="1432"/>
      <c r="H143" s="1432"/>
      <c r="I143" s="1431"/>
      <c r="J143" s="1431"/>
      <c r="K143" s="1431"/>
      <c r="L143" s="1431"/>
      <c r="M143" s="1431"/>
      <c r="N143" s="1431"/>
      <c r="O143" s="1431"/>
      <c r="P143" s="1431"/>
      <c r="Q143" s="1431"/>
      <c r="R143" s="1431"/>
      <c r="S143" s="1431"/>
      <c r="T143" s="1431"/>
      <c r="U143" s="1428"/>
      <c r="V143" s="1428"/>
      <c r="W143" s="1428"/>
      <c r="X143" s="1428"/>
      <c r="Y143" s="1428"/>
      <c r="Z143" s="778"/>
    </row>
    <row r="144" spans="1:26" s="764" customFormat="1" ht="21.75" hidden="1" customHeight="1">
      <c r="A144" s="757"/>
      <c r="B144" s="758"/>
      <c r="C144" s="762"/>
      <c r="D144" s="66"/>
      <c r="E144" s="763"/>
      <c r="F144" s="1430"/>
      <c r="G144" s="1430"/>
      <c r="H144" s="1430"/>
      <c r="I144" s="1430"/>
      <c r="J144" s="1430"/>
      <c r="K144" s="1430"/>
      <c r="L144" s="1430"/>
      <c r="M144" s="1430"/>
      <c r="N144" s="1430"/>
      <c r="O144" s="1430"/>
      <c r="P144" s="1430"/>
      <c r="Q144" s="1430"/>
      <c r="R144" s="1430"/>
      <c r="S144" s="1430"/>
      <c r="T144" s="1430"/>
      <c r="U144" s="1430"/>
      <c r="V144" s="1430"/>
      <c r="W144" s="1430"/>
      <c r="X144" s="1430"/>
      <c r="Y144" s="1430"/>
      <c r="Z144" s="779"/>
    </row>
    <row r="145" spans="1:26" s="764" customFormat="1" ht="21.75" hidden="1" customHeight="1">
      <c r="A145" s="757"/>
      <c r="B145" s="758"/>
      <c r="C145" s="765"/>
      <c r="D145" s="66"/>
      <c r="E145" s="763"/>
      <c r="F145" s="1429"/>
      <c r="G145" s="1429"/>
      <c r="H145" s="1429"/>
      <c r="I145" s="1428"/>
      <c r="J145" s="1428"/>
      <c r="K145" s="1428"/>
      <c r="L145" s="1428"/>
      <c r="M145" s="1428"/>
      <c r="N145" s="1427"/>
      <c r="O145" s="1427"/>
      <c r="P145" s="1427"/>
      <c r="Q145" s="1427"/>
      <c r="R145" s="1427"/>
      <c r="S145" s="1428"/>
      <c r="T145" s="1428"/>
      <c r="U145" s="1428"/>
      <c r="V145" s="1428"/>
      <c r="W145" s="1428"/>
      <c r="X145" s="1428"/>
      <c r="Y145" s="1428"/>
      <c r="Z145" s="779"/>
    </row>
    <row r="146" spans="1:26" s="764" customFormat="1" ht="21.75" hidden="1" customHeight="1">
      <c r="A146" s="757"/>
      <c r="B146" s="758"/>
      <c r="C146" s="69"/>
      <c r="D146" s="69"/>
      <c r="E146" s="766"/>
      <c r="F146" s="1429"/>
      <c r="G146" s="1429"/>
      <c r="H146" s="1429"/>
      <c r="I146" s="1428"/>
      <c r="J146" s="1428"/>
      <c r="K146" s="1428"/>
      <c r="L146" s="1428"/>
      <c r="M146" s="1428"/>
      <c r="N146" s="1427"/>
      <c r="O146" s="1427"/>
      <c r="P146" s="1427"/>
      <c r="Q146" s="1427"/>
      <c r="R146" s="1427"/>
      <c r="S146" s="1428"/>
      <c r="T146" s="1428"/>
      <c r="U146" s="1428"/>
      <c r="V146" s="1428"/>
      <c r="W146" s="1428"/>
      <c r="X146" s="1428"/>
      <c r="Y146" s="1428"/>
      <c r="Z146" s="780"/>
    </row>
    <row r="147" spans="1:26" s="764" customFormat="1" ht="21.75" hidden="1" customHeight="1">
      <c r="A147" s="757"/>
      <c r="B147" s="758"/>
      <c r="C147" s="758"/>
      <c r="D147" s="758"/>
      <c r="E147" s="758"/>
      <c r="F147" s="1429"/>
      <c r="G147" s="1429"/>
      <c r="H147" s="1429"/>
      <c r="I147" s="1428"/>
      <c r="J147" s="1428"/>
      <c r="K147" s="1428"/>
      <c r="L147" s="1428"/>
      <c r="M147" s="1428"/>
      <c r="N147" s="1427"/>
      <c r="O147" s="1427"/>
      <c r="P147" s="1427"/>
      <c r="Q147" s="1427"/>
      <c r="R147" s="1427"/>
      <c r="S147" s="1428"/>
      <c r="T147" s="1428"/>
      <c r="U147" s="1428"/>
      <c r="V147" s="1428"/>
      <c r="W147" s="1428"/>
      <c r="X147" s="1428"/>
      <c r="Y147" s="1428"/>
      <c r="Z147" s="780"/>
    </row>
    <row r="148" spans="1:26" s="764" customFormat="1" ht="21.75" hidden="1" customHeight="1">
      <c r="A148" s="757"/>
      <c r="B148" s="757"/>
      <c r="C148" s="758"/>
      <c r="D148" s="758"/>
      <c r="E148" s="758"/>
      <c r="F148" s="1429"/>
      <c r="G148" s="1429"/>
      <c r="H148" s="1429"/>
      <c r="I148" s="1428"/>
      <c r="J148" s="1428"/>
      <c r="K148" s="1428"/>
      <c r="L148" s="1428"/>
      <c r="M148" s="1428"/>
      <c r="N148" s="1427"/>
      <c r="O148" s="1427"/>
      <c r="P148" s="1427"/>
      <c r="Q148" s="1427"/>
      <c r="R148" s="1427"/>
      <c r="S148" s="1428"/>
      <c r="T148" s="1428"/>
      <c r="U148" s="1428"/>
      <c r="V148" s="1428"/>
      <c r="W148" s="1428"/>
      <c r="X148" s="1428"/>
      <c r="Y148" s="1428"/>
      <c r="Z148" s="780"/>
    </row>
    <row r="149" spans="1:26" s="764" customFormat="1" ht="21.75" hidden="1" customHeight="1">
      <c r="A149" s="757"/>
      <c r="B149" s="757"/>
      <c r="C149" s="758"/>
      <c r="D149" s="758"/>
      <c r="E149" s="758"/>
      <c r="F149" s="1429"/>
      <c r="G149" s="1429"/>
      <c r="H149" s="1429"/>
      <c r="I149" s="1428"/>
      <c r="J149" s="1428"/>
      <c r="K149" s="1428"/>
      <c r="L149" s="1428"/>
      <c r="M149" s="1428"/>
      <c r="N149" s="1427"/>
      <c r="O149" s="1427"/>
      <c r="P149" s="1427"/>
      <c r="Q149" s="1427"/>
      <c r="R149" s="1427"/>
      <c r="S149" s="1428"/>
      <c r="T149" s="1428"/>
      <c r="U149" s="1428"/>
      <c r="V149" s="1428"/>
      <c r="W149" s="1428"/>
      <c r="X149" s="1428"/>
      <c r="Y149" s="1428"/>
      <c r="Z149" s="780"/>
    </row>
    <row r="150" spans="1:26" s="760" customFormat="1" ht="21.75" hidden="1" customHeight="1">
      <c r="A150" s="758"/>
      <c r="B150" s="758"/>
      <c r="C150" s="758"/>
      <c r="D150" s="71"/>
      <c r="E150" s="758"/>
      <c r="F150" s="1429"/>
      <c r="G150" s="1429"/>
      <c r="H150" s="1429"/>
      <c r="I150" s="1428"/>
      <c r="J150" s="1428"/>
      <c r="K150" s="1428"/>
      <c r="L150" s="1428"/>
      <c r="M150" s="1428"/>
      <c r="N150" s="1427"/>
      <c r="O150" s="1427"/>
      <c r="P150" s="1427"/>
      <c r="Q150" s="1427"/>
      <c r="R150" s="1427"/>
      <c r="S150" s="1428"/>
      <c r="T150" s="1428"/>
      <c r="U150" s="1428"/>
      <c r="V150" s="1428"/>
      <c r="W150" s="1428"/>
      <c r="X150" s="1428"/>
      <c r="Y150" s="1428"/>
      <c r="Z150" s="779"/>
    </row>
    <row r="151" spans="1:26" s="760" customFormat="1" ht="21.75" hidden="1" customHeight="1">
      <c r="A151" s="758"/>
      <c r="B151" s="758"/>
      <c r="C151" s="758"/>
      <c r="D151" s="71"/>
      <c r="E151" s="758"/>
      <c r="F151" s="1429"/>
      <c r="G151" s="1429"/>
      <c r="H151" s="1429"/>
      <c r="I151" s="1428"/>
      <c r="J151" s="1428"/>
      <c r="K151" s="1428"/>
      <c r="L151" s="1428"/>
      <c r="M151" s="1428"/>
      <c r="N151" s="1427"/>
      <c r="O151" s="1427"/>
      <c r="P151" s="1427"/>
      <c r="Q151" s="1427"/>
      <c r="R151" s="1427"/>
      <c r="S151" s="1428"/>
      <c r="T151" s="1428"/>
      <c r="U151" s="1428"/>
      <c r="V151" s="1428"/>
      <c r="W151" s="1428"/>
      <c r="X151" s="1428"/>
      <c r="Y151" s="1428"/>
      <c r="Z151" s="779"/>
    </row>
    <row r="152" spans="1:26" s="760" customFormat="1" ht="21.75" hidden="1" customHeight="1">
      <c r="A152" s="758"/>
      <c r="B152" s="758"/>
      <c r="C152" s="758"/>
      <c r="D152" s="758"/>
      <c r="E152" s="758"/>
      <c r="F152" s="1429"/>
      <c r="G152" s="1429"/>
      <c r="H152" s="1429"/>
      <c r="I152" s="1428"/>
      <c r="J152" s="1428"/>
      <c r="K152" s="1428"/>
      <c r="L152" s="1428"/>
      <c r="M152" s="1428"/>
      <c r="N152" s="1427"/>
      <c r="O152" s="1427"/>
      <c r="P152" s="1427"/>
      <c r="Q152" s="1427"/>
      <c r="R152" s="1427"/>
      <c r="S152" s="1428"/>
      <c r="T152" s="1428"/>
      <c r="U152" s="1428"/>
      <c r="V152" s="1428"/>
      <c r="W152" s="1428"/>
      <c r="X152" s="1428"/>
      <c r="Y152" s="1428"/>
      <c r="Z152" s="779"/>
    </row>
    <row r="153" spans="1:26" s="760" customFormat="1" ht="21.75" hidden="1" customHeight="1">
      <c r="A153" s="758"/>
      <c r="B153" s="758"/>
      <c r="C153" s="758"/>
      <c r="D153" s="758"/>
      <c r="E153" s="758"/>
      <c r="F153" s="1429"/>
      <c r="G153" s="1429"/>
      <c r="H153" s="1429"/>
      <c r="I153" s="1428"/>
      <c r="J153" s="1428"/>
      <c r="K153" s="1428"/>
      <c r="L153" s="1428"/>
      <c r="M153" s="1428"/>
      <c r="N153" s="1427"/>
      <c r="O153" s="1427"/>
      <c r="P153" s="1427"/>
      <c r="Q153" s="1427"/>
      <c r="R153" s="1427"/>
      <c r="S153" s="1428"/>
      <c r="T153" s="1428"/>
      <c r="U153" s="1428"/>
      <c r="V153" s="1428"/>
      <c r="W153" s="1428"/>
      <c r="X153" s="1428"/>
      <c r="Y153" s="1428"/>
      <c r="Z153" s="779"/>
    </row>
    <row r="154" spans="1:26" s="760" customFormat="1" ht="21.75" hidden="1" customHeight="1">
      <c r="A154" s="758"/>
      <c r="B154" s="758"/>
      <c r="C154" s="758"/>
      <c r="D154" s="758"/>
      <c r="E154" s="758"/>
      <c r="F154" s="1429"/>
      <c r="G154" s="1429"/>
      <c r="H154" s="1429"/>
      <c r="I154" s="1428"/>
      <c r="J154" s="1428"/>
      <c r="K154" s="1428"/>
      <c r="L154" s="1428"/>
      <c r="M154" s="1428"/>
      <c r="N154" s="1427"/>
      <c r="O154" s="1427"/>
      <c r="P154" s="1427"/>
      <c r="Q154" s="1427"/>
      <c r="R154" s="1427"/>
      <c r="S154" s="1428"/>
      <c r="T154" s="1428"/>
      <c r="U154" s="1428"/>
      <c r="V154" s="1428"/>
      <c r="W154" s="1428"/>
      <c r="X154" s="1428"/>
      <c r="Y154" s="1428"/>
      <c r="Z154" s="779"/>
    </row>
    <row r="155" spans="1:26" s="677" customFormat="1" ht="21.75" hidden="1" customHeight="1">
      <c r="A155" s="655"/>
      <c r="B155" s="655"/>
      <c r="C155" s="655"/>
      <c r="D155" s="655"/>
      <c r="E155" s="655"/>
      <c r="F155" s="1429"/>
      <c r="G155" s="1429"/>
      <c r="H155" s="1429"/>
      <c r="I155" s="1428"/>
      <c r="J155" s="1428"/>
      <c r="K155" s="1428"/>
      <c r="L155" s="1428"/>
      <c r="M155" s="1428"/>
      <c r="N155" s="1427"/>
      <c r="O155" s="1427"/>
      <c r="P155" s="1427"/>
      <c r="Q155" s="1427"/>
      <c r="R155" s="1427"/>
      <c r="S155" s="1428"/>
      <c r="T155" s="1428"/>
      <c r="U155" s="1428"/>
      <c r="V155" s="1428"/>
      <c r="W155" s="1428"/>
      <c r="X155" s="1428"/>
      <c r="Y155" s="1428"/>
      <c r="Z155" s="767"/>
    </row>
    <row r="156" spans="1:26" s="677" customFormat="1" ht="21.75" hidden="1" customHeight="1">
      <c r="A156" s="767"/>
      <c r="B156" s="767"/>
      <c r="C156" s="767"/>
      <c r="D156" s="767"/>
      <c r="E156" s="767"/>
      <c r="F156" s="1429"/>
      <c r="G156" s="1429"/>
      <c r="H156" s="1429"/>
      <c r="I156" s="1428"/>
      <c r="J156" s="1428"/>
      <c r="K156" s="1428"/>
      <c r="L156" s="1428"/>
      <c r="M156" s="1428"/>
      <c r="N156" s="1427"/>
      <c r="O156" s="1427"/>
      <c r="P156" s="1427"/>
      <c r="Q156" s="1427"/>
      <c r="R156" s="1427"/>
      <c r="S156" s="1428"/>
      <c r="T156" s="1428"/>
      <c r="U156" s="1428"/>
      <c r="V156" s="1428"/>
      <c r="W156" s="1428"/>
      <c r="X156" s="1428"/>
      <c r="Y156" s="1428"/>
      <c r="Z156" s="767"/>
    </row>
    <row r="157" spans="1:26" s="677" customFormat="1" ht="21.75" hidden="1" customHeight="1">
      <c r="A157" s="767"/>
      <c r="B157" s="767"/>
      <c r="C157" s="767"/>
      <c r="D157" s="767"/>
      <c r="E157" s="767"/>
      <c r="F157" s="1429"/>
      <c r="G157" s="1429"/>
      <c r="H157" s="1429"/>
      <c r="I157" s="1428"/>
      <c r="J157" s="1428"/>
      <c r="K157" s="1428"/>
      <c r="L157" s="1428"/>
      <c r="M157" s="1428"/>
      <c r="N157" s="1427"/>
      <c r="O157" s="1427"/>
      <c r="P157" s="1427"/>
      <c r="Q157" s="1427"/>
      <c r="R157" s="1427"/>
      <c r="S157" s="1428"/>
      <c r="T157" s="1428"/>
      <c r="U157" s="1428"/>
      <c r="V157" s="1428"/>
      <c r="W157" s="1428"/>
      <c r="X157" s="1428"/>
      <c r="Y157" s="1428"/>
      <c r="Z157" s="767"/>
    </row>
    <row r="158" spans="1:26" s="677" customFormat="1" ht="21.75" hidden="1" customHeight="1">
      <c r="A158" s="655"/>
      <c r="B158" s="655"/>
      <c r="C158" s="655"/>
      <c r="D158" s="655"/>
      <c r="E158" s="655"/>
      <c r="F158" s="655"/>
      <c r="G158" s="655"/>
      <c r="H158" s="655"/>
      <c r="I158" s="655"/>
      <c r="J158" s="655"/>
      <c r="K158" s="655"/>
      <c r="L158" s="655"/>
      <c r="M158" s="655"/>
      <c r="N158" s="655"/>
      <c r="O158" s="655"/>
      <c r="P158" s="655"/>
      <c r="Q158" s="655"/>
      <c r="R158" s="655"/>
      <c r="S158" s="655"/>
      <c r="T158" s="655"/>
      <c r="U158" s="655"/>
      <c r="V158" s="655"/>
      <c r="W158" s="655"/>
      <c r="X158" s="655"/>
      <c r="Y158" s="655"/>
      <c r="Z158" s="767"/>
    </row>
    <row r="159" spans="1:26" s="677" customFormat="1" ht="21.75" hidden="1" customHeight="1">
      <c r="Z159" s="767"/>
    </row>
    <row r="160" spans="1:26" s="677" customFormat="1" ht="21.75" hidden="1" customHeight="1">
      <c r="Z160" s="767"/>
    </row>
    <row r="161" spans="26:26" s="677" customFormat="1" ht="21.75" hidden="1" customHeight="1">
      <c r="Z161" s="767"/>
    </row>
    <row r="162" spans="26:26" ht="21.75" hidden="1" customHeight="1"/>
    <row r="163" spans="26:26" ht="21.75" hidden="1" customHeight="1"/>
    <row r="164" spans="26:26" ht="21.75" hidden="1" customHeight="1"/>
    <row r="165" spans="26:26" ht="21.75" hidden="1" customHeight="1"/>
    <row r="166" spans="26:26" ht="21.75" hidden="1" customHeight="1"/>
    <row r="167" spans="26:26" ht="21.75" hidden="1" customHeight="1"/>
    <row r="168" spans="26:26" ht="21.75" hidden="1" customHeight="1"/>
    <row r="169" spans="26:26" ht="21.75" hidden="1" customHeight="1"/>
    <row r="170" spans="26:26" ht="21.75" hidden="1" customHeight="1"/>
    <row r="171" spans="26:26" ht="21.75" hidden="1" customHeight="1"/>
    <row r="172" spans="26:26" ht="21.75" hidden="1" customHeight="1"/>
    <row r="173" spans="26:26" ht="21.75" hidden="1" customHeight="1"/>
    <row r="174" spans="26:26" ht="21.75" hidden="1" customHeight="1"/>
    <row r="175" spans="26:26" ht="21.75" hidden="1" customHeight="1"/>
    <row r="176" spans="26:26" ht="21.75" hidden="1" customHeight="1"/>
    <row r="177" ht="21.75" hidden="1" customHeight="1"/>
    <row r="178" ht="21.75" hidden="1" customHeight="1"/>
    <row r="179" ht="21.75" hidden="1" customHeight="1"/>
    <row r="180" ht="21.75" hidden="1" customHeight="1"/>
    <row r="181" ht="21.75" hidden="1" customHeight="1"/>
    <row r="182" ht="21.75" hidden="1" customHeight="1"/>
    <row r="183" ht="21.75" hidden="1" customHeight="1"/>
    <row r="184" ht="21.75" hidden="1" customHeight="1"/>
    <row r="185" ht="21.75" hidden="1" customHeight="1"/>
    <row r="186" ht="21.75" hidden="1" customHeight="1"/>
    <row r="187" ht="21.75" hidden="1" customHeight="1"/>
    <row r="188" ht="21.75" hidden="1" customHeight="1"/>
    <row r="189" ht="21.75" hidden="1" customHeight="1"/>
    <row r="190" ht="21.75" hidden="1" customHeight="1"/>
    <row r="191" ht="21.75" hidden="1" customHeight="1"/>
    <row r="192" ht="21.75" hidden="1" customHeight="1"/>
    <row r="193" ht="21.75" hidden="1" customHeight="1"/>
    <row r="194" ht="21.75" hidden="1" customHeight="1"/>
    <row r="195" ht="21.75" hidden="1" customHeight="1"/>
    <row r="196" ht="21.75" hidden="1" customHeight="1"/>
    <row r="197" ht="21.75" hidden="1" customHeight="1"/>
    <row r="198" ht="21.75" hidden="1" customHeight="1"/>
    <row r="199" ht="21.75" hidden="1" customHeight="1"/>
    <row r="200" ht="21.75" hidden="1" customHeight="1"/>
    <row r="201" ht="21.75" hidden="1" customHeight="1"/>
    <row r="202" ht="21.75" hidden="1" customHeight="1"/>
    <row r="203" ht="21.75" hidden="1" customHeight="1"/>
    <row r="204" ht="21.75" hidden="1" customHeight="1"/>
    <row r="205" ht="21.75" hidden="1" customHeight="1"/>
    <row r="206" ht="21.75" hidden="1" customHeight="1"/>
    <row r="207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</sheetData>
  <sheetProtection password="CCFF" sheet="1" formatCells="0" formatColumns="0" formatRows="0" autoFilter="0"/>
  <dataConsolidate/>
  <mergeCells count="487">
    <mergeCell ref="A1:I1"/>
    <mergeCell ref="J1:Q1"/>
    <mergeCell ref="C7:F7"/>
    <mergeCell ref="C9:D10"/>
    <mergeCell ref="M10:N10"/>
    <mergeCell ref="E10:F10"/>
    <mergeCell ref="G10:H10"/>
    <mergeCell ref="E9:X9"/>
    <mergeCell ref="I10:J10"/>
    <mergeCell ref="Q10:R10"/>
    <mergeCell ref="G6:X6"/>
    <mergeCell ref="O10:P10"/>
    <mergeCell ref="K10:L10"/>
    <mergeCell ref="C6:F6"/>
    <mergeCell ref="U4:V4"/>
    <mergeCell ref="G7:X7"/>
    <mergeCell ref="W4:X4"/>
    <mergeCell ref="W10:X10"/>
    <mergeCell ref="U10:V10"/>
    <mergeCell ref="B9:B10"/>
    <mergeCell ref="C11:D11"/>
    <mergeCell ref="I11:J11"/>
    <mergeCell ref="G11:H11"/>
    <mergeCell ref="O14:P14"/>
    <mergeCell ref="Q13:R13"/>
    <mergeCell ref="K13:L13"/>
    <mergeCell ref="C12:D12"/>
    <mergeCell ref="C14:D14"/>
    <mergeCell ref="I14:J14"/>
    <mergeCell ref="O12:P12"/>
    <mergeCell ref="M12:N12"/>
    <mergeCell ref="W12:X12"/>
    <mergeCell ref="U12:V12"/>
    <mergeCell ref="Q12:R12"/>
    <mergeCell ref="M14:N14"/>
    <mergeCell ref="Q14:R14"/>
    <mergeCell ref="E12:F12"/>
    <mergeCell ref="G12:H12"/>
    <mergeCell ref="M11:N11"/>
    <mergeCell ref="I13:J13"/>
    <mergeCell ref="K11:L11"/>
    <mergeCell ref="I12:J12"/>
    <mergeCell ref="M13:N13"/>
    <mergeCell ref="W11:X11"/>
    <mergeCell ref="U11:V11"/>
    <mergeCell ref="O11:P11"/>
    <mergeCell ref="Q11:R11"/>
    <mergeCell ref="G14:H14"/>
    <mergeCell ref="K12:L12"/>
    <mergeCell ref="W13:X13"/>
    <mergeCell ref="E11:F11"/>
    <mergeCell ref="C16:D16"/>
    <mergeCell ref="W15:X15"/>
    <mergeCell ref="U15:V15"/>
    <mergeCell ref="Q15:R15"/>
    <mergeCell ref="O15:P15"/>
    <mergeCell ref="E13:F13"/>
    <mergeCell ref="E15:F15"/>
    <mergeCell ref="M15:N15"/>
    <mergeCell ref="K15:L15"/>
    <mergeCell ref="G13:H13"/>
    <mergeCell ref="U13:V13"/>
    <mergeCell ref="W14:X14"/>
    <mergeCell ref="C13:D13"/>
    <mergeCell ref="E14:F14"/>
    <mergeCell ref="U14:V14"/>
    <mergeCell ref="O13:P13"/>
    <mergeCell ref="I15:J15"/>
    <mergeCell ref="G15:H15"/>
    <mergeCell ref="C15:D15"/>
    <mergeCell ref="K14:L14"/>
    <mergeCell ref="W18:X18"/>
    <mergeCell ref="U18:V18"/>
    <mergeCell ref="U16:V16"/>
    <mergeCell ref="W16:X16"/>
    <mergeCell ref="W17:X17"/>
    <mergeCell ref="M18:N18"/>
    <mergeCell ref="O18:P18"/>
    <mergeCell ref="Q17:R17"/>
    <mergeCell ref="U17:V17"/>
    <mergeCell ref="Q16:R16"/>
    <mergeCell ref="O17:P17"/>
    <mergeCell ref="O16:P16"/>
    <mergeCell ref="M16:N16"/>
    <mergeCell ref="M17:N17"/>
    <mergeCell ref="I22:J22"/>
    <mergeCell ref="G22:H22"/>
    <mergeCell ref="K20:L20"/>
    <mergeCell ref="C18:D18"/>
    <mergeCell ref="E19:F19"/>
    <mergeCell ref="G19:H19"/>
    <mergeCell ref="I19:J19"/>
    <mergeCell ref="E16:F16"/>
    <mergeCell ref="K18:L18"/>
    <mergeCell ref="K16:L16"/>
    <mergeCell ref="C22:D22"/>
    <mergeCell ref="E22:F22"/>
    <mergeCell ref="C21:D21"/>
    <mergeCell ref="E20:F20"/>
    <mergeCell ref="C20:D20"/>
    <mergeCell ref="E21:F21"/>
    <mergeCell ref="I16:J16"/>
    <mergeCell ref="E18:F18"/>
    <mergeCell ref="G18:H18"/>
    <mergeCell ref="I17:J17"/>
    <mergeCell ref="G17:H17"/>
    <mergeCell ref="E17:F17"/>
    <mergeCell ref="G16:H16"/>
    <mergeCell ref="I21:J21"/>
    <mergeCell ref="K21:L21"/>
    <mergeCell ref="U21:V21"/>
    <mergeCell ref="Q21:R21"/>
    <mergeCell ref="C17:D17"/>
    <mergeCell ref="G21:H21"/>
    <mergeCell ref="G20:H20"/>
    <mergeCell ref="I20:J20"/>
    <mergeCell ref="K19:L19"/>
    <mergeCell ref="K17:L17"/>
    <mergeCell ref="I18:J18"/>
    <mergeCell ref="Q18:R18"/>
    <mergeCell ref="C19:D19"/>
    <mergeCell ref="W19:X19"/>
    <mergeCell ref="M19:N19"/>
    <mergeCell ref="Q19:R19"/>
    <mergeCell ref="U19:V19"/>
    <mergeCell ref="O19:P19"/>
    <mergeCell ref="Q23:R23"/>
    <mergeCell ref="O21:P21"/>
    <mergeCell ref="M20:N20"/>
    <mergeCell ref="U20:V20"/>
    <mergeCell ref="W20:X20"/>
    <mergeCell ref="W21:X21"/>
    <mergeCell ref="O20:P20"/>
    <mergeCell ref="Q20:R20"/>
    <mergeCell ref="M21:N21"/>
    <mergeCell ref="Q24:R24"/>
    <mergeCell ref="O22:P22"/>
    <mergeCell ref="M22:N22"/>
    <mergeCell ref="W24:X24"/>
    <mergeCell ref="O26:P26"/>
    <mergeCell ref="K25:L25"/>
    <mergeCell ref="O25:P25"/>
    <mergeCell ref="O24:P24"/>
    <mergeCell ref="M24:N24"/>
    <mergeCell ref="Q25:R25"/>
    <mergeCell ref="K24:L24"/>
    <mergeCell ref="Q26:R26"/>
    <mergeCell ref="W23:X23"/>
    <mergeCell ref="U23:V23"/>
    <mergeCell ref="Q22:R22"/>
    <mergeCell ref="W22:X22"/>
    <mergeCell ref="M23:N23"/>
    <mergeCell ref="O23:P23"/>
    <mergeCell ref="U22:V22"/>
    <mergeCell ref="K22:L22"/>
    <mergeCell ref="I23:J23"/>
    <mergeCell ref="C24:D24"/>
    <mergeCell ref="G23:H23"/>
    <mergeCell ref="I24:J24"/>
    <mergeCell ref="E23:F23"/>
    <mergeCell ref="E24:F24"/>
    <mergeCell ref="G24:H24"/>
    <mergeCell ref="C23:D23"/>
    <mergeCell ref="O29:P29"/>
    <mergeCell ref="E25:F25"/>
    <mergeCell ref="C26:D26"/>
    <mergeCell ref="G26:H26"/>
    <mergeCell ref="G25:H25"/>
    <mergeCell ref="C25:D25"/>
    <mergeCell ref="E26:F26"/>
    <mergeCell ref="I25:J25"/>
    <mergeCell ref="I26:J26"/>
    <mergeCell ref="M26:N26"/>
    <mergeCell ref="C27:D27"/>
    <mergeCell ref="E27:F27"/>
    <mergeCell ref="I27:J27"/>
    <mergeCell ref="G27:H27"/>
    <mergeCell ref="G28:H28"/>
    <mergeCell ref="C28:D28"/>
    <mergeCell ref="W28:X28"/>
    <mergeCell ref="U28:V28"/>
    <mergeCell ref="Q27:R27"/>
    <mergeCell ref="Q28:R28"/>
    <mergeCell ref="Q29:R29"/>
    <mergeCell ref="U32:V32"/>
    <mergeCell ref="K23:L23"/>
    <mergeCell ref="W27:X27"/>
    <mergeCell ref="U27:V27"/>
    <mergeCell ref="M27:N27"/>
    <mergeCell ref="W26:X26"/>
    <mergeCell ref="K26:L26"/>
    <mergeCell ref="W25:X25"/>
    <mergeCell ref="U25:V25"/>
    <mergeCell ref="U26:V26"/>
    <mergeCell ref="K28:L28"/>
    <mergeCell ref="O27:P27"/>
    <mergeCell ref="M28:N28"/>
    <mergeCell ref="O28:P28"/>
    <mergeCell ref="K27:L27"/>
    <mergeCell ref="W32:X32"/>
    <mergeCell ref="U31:V31"/>
    <mergeCell ref="U30:V30"/>
    <mergeCell ref="U24:V24"/>
    <mergeCell ref="I28:J28"/>
    <mergeCell ref="E28:F28"/>
    <mergeCell ref="G29:H29"/>
    <mergeCell ref="G31:H31"/>
    <mergeCell ref="E30:F30"/>
    <mergeCell ref="I30:J30"/>
    <mergeCell ref="E29:F29"/>
    <mergeCell ref="C29:D29"/>
    <mergeCell ref="I29:J29"/>
    <mergeCell ref="I31:J31"/>
    <mergeCell ref="C31:D31"/>
    <mergeCell ref="E31:F31"/>
    <mergeCell ref="O30:P30"/>
    <mergeCell ref="Q32:R32"/>
    <mergeCell ref="Q30:R30"/>
    <mergeCell ref="C32:D32"/>
    <mergeCell ref="C30:D30"/>
    <mergeCell ref="O32:P32"/>
    <mergeCell ref="O31:P31"/>
    <mergeCell ref="Q31:R31"/>
    <mergeCell ref="K29:L29"/>
    <mergeCell ref="M29:N29"/>
    <mergeCell ref="K30:L30"/>
    <mergeCell ref="K32:L32"/>
    <mergeCell ref="M31:N31"/>
    <mergeCell ref="M30:N30"/>
    <mergeCell ref="M32:N32"/>
    <mergeCell ref="K31:L31"/>
    <mergeCell ref="E32:F32"/>
    <mergeCell ref="G30:H30"/>
    <mergeCell ref="I32:J32"/>
    <mergeCell ref="G32:H32"/>
    <mergeCell ref="AA53:AD53"/>
    <mergeCell ref="U42:W42"/>
    <mergeCell ref="U38:W38"/>
    <mergeCell ref="U41:W41"/>
    <mergeCell ref="U46:W46"/>
    <mergeCell ref="U43:W43"/>
    <mergeCell ref="U47:W48"/>
    <mergeCell ref="U40:W40"/>
    <mergeCell ref="U39:W39"/>
    <mergeCell ref="U83:W83"/>
    <mergeCell ref="U77:W77"/>
    <mergeCell ref="U76:W76"/>
    <mergeCell ref="U70:W70"/>
    <mergeCell ref="U78:W78"/>
    <mergeCell ref="U29:V29"/>
    <mergeCell ref="U36:W36"/>
    <mergeCell ref="U35:W35"/>
    <mergeCell ref="U37:W37"/>
    <mergeCell ref="W30:X30"/>
    <mergeCell ref="U54:W54"/>
    <mergeCell ref="U53:W53"/>
    <mergeCell ref="U62:W62"/>
    <mergeCell ref="W31:X31"/>
    <mergeCell ref="W29:X29"/>
    <mergeCell ref="U73:W73"/>
    <mergeCell ref="U74:W74"/>
    <mergeCell ref="U60:W60"/>
    <mergeCell ref="U67:W67"/>
    <mergeCell ref="U68:W68"/>
    <mergeCell ref="U71:W71"/>
    <mergeCell ref="U66:W66"/>
    <mergeCell ref="U75:W75"/>
    <mergeCell ref="U61:W61"/>
    <mergeCell ref="D72:S72"/>
    <mergeCell ref="D55:E55"/>
    <mergeCell ref="D56:F56"/>
    <mergeCell ref="U55:W55"/>
    <mergeCell ref="D47:F47"/>
    <mergeCell ref="D53:F53"/>
    <mergeCell ref="U49:W50"/>
    <mergeCell ref="U51:W51"/>
    <mergeCell ref="D51:F51"/>
    <mergeCell ref="S50:T50"/>
    <mergeCell ref="D49:F49"/>
    <mergeCell ref="D52:F52"/>
    <mergeCell ref="U52:W52"/>
    <mergeCell ref="U56:W56"/>
    <mergeCell ref="U58:W58"/>
    <mergeCell ref="U57:W57"/>
    <mergeCell ref="U59:W59"/>
    <mergeCell ref="D69:S69"/>
    <mergeCell ref="D66:S66"/>
    <mergeCell ref="D68:S68"/>
    <mergeCell ref="U69:W69"/>
    <mergeCell ref="D70:S70"/>
    <mergeCell ref="U72:W72"/>
    <mergeCell ref="T96:X96"/>
    <mergeCell ref="M94:O94"/>
    <mergeCell ref="P94:S94"/>
    <mergeCell ref="P96:S96"/>
    <mergeCell ref="J97:L97"/>
    <mergeCell ref="D96:I96"/>
    <mergeCell ref="J96:L96"/>
    <mergeCell ref="U85:W85"/>
    <mergeCell ref="U84:W84"/>
    <mergeCell ref="U89:W89"/>
    <mergeCell ref="M96:O96"/>
    <mergeCell ref="U90:W90"/>
    <mergeCell ref="T95:X95"/>
    <mergeCell ref="T94:X94"/>
    <mergeCell ref="T92:X92"/>
    <mergeCell ref="J92:L92"/>
    <mergeCell ref="T93:X93"/>
    <mergeCell ref="P92:S92"/>
    <mergeCell ref="C73:C75"/>
    <mergeCell ref="D76:S76"/>
    <mergeCell ref="M92:O92"/>
    <mergeCell ref="P95:S95"/>
    <mergeCell ref="J95:L95"/>
    <mergeCell ref="D92:I92"/>
    <mergeCell ref="D93:I93"/>
    <mergeCell ref="R74:T74"/>
    <mergeCell ref="P93:S93"/>
    <mergeCell ref="D77:S77"/>
    <mergeCell ref="D95:I95"/>
    <mergeCell ref="D94:I94"/>
    <mergeCell ref="J94:L94"/>
    <mergeCell ref="R75:T75"/>
    <mergeCell ref="D73:O75"/>
    <mergeCell ref="M93:O93"/>
    <mergeCell ref="R73:T73"/>
    <mergeCell ref="J93:L93"/>
    <mergeCell ref="M95:O95"/>
    <mergeCell ref="C99:X99"/>
    <mergeCell ref="E122:J122"/>
    <mergeCell ref="N122:R122"/>
    <mergeCell ref="M106:P106"/>
    <mergeCell ref="U108:W108"/>
    <mergeCell ref="E108:S108"/>
    <mergeCell ref="E106:L106"/>
    <mergeCell ref="E104:S105"/>
    <mergeCell ref="D97:I97"/>
    <mergeCell ref="D104:D107"/>
    <mergeCell ref="U103:W103"/>
    <mergeCell ref="E103:S103"/>
    <mergeCell ref="E107:L107"/>
    <mergeCell ref="M107:P107"/>
    <mergeCell ref="Q107:S107"/>
    <mergeCell ref="U107:W107"/>
    <mergeCell ref="U104:W104"/>
    <mergeCell ref="Q106:S106"/>
    <mergeCell ref="M97:O97"/>
    <mergeCell ref="C98:X98"/>
    <mergeCell ref="T97:X97"/>
    <mergeCell ref="P97:S97"/>
    <mergeCell ref="Q131:T131"/>
    <mergeCell ref="U109:W109"/>
    <mergeCell ref="E109:S109"/>
    <mergeCell ref="I130:L130"/>
    <mergeCell ref="M130:P130"/>
    <mergeCell ref="S118:T118"/>
    <mergeCell ref="S123:X123"/>
    <mergeCell ref="E123:J123"/>
    <mergeCell ref="U130:Y130"/>
    <mergeCell ref="Q130:T130"/>
    <mergeCell ref="T124:X124"/>
    <mergeCell ref="E111:W113"/>
    <mergeCell ref="U117:X117"/>
    <mergeCell ref="S117:T117"/>
    <mergeCell ref="T122:X122"/>
    <mergeCell ref="F130:H130"/>
    <mergeCell ref="U120:W120"/>
    <mergeCell ref="F131:H131"/>
    <mergeCell ref="I131:L131"/>
    <mergeCell ref="M131:P131"/>
    <mergeCell ref="U131:Y131"/>
    <mergeCell ref="I134:L134"/>
    <mergeCell ref="F136:H136"/>
    <mergeCell ref="I135:L135"/>
    <mergeCell ref="I136:L136"/>
    <mergeCell ref="F134:H134"/>
    <mergeCell ref="U134:Y134"/>
    <mergeCell ref="M134:P134"/>
    <mergeCell ref="Q134:T134"/>
    <mergeCell ref="Q132:T132"/>
    <mergeCell ref="U132:Y132"/>
    <mergeCell ref="Q133:T133"/>
    <mergeCell ref="M135:P135"/>
    <mergeCell ref="U135:Y135"/>
    <mergeCell ref="Q136:T136"/>
    <mergeCell ref="Q135:T135"/>
    <mergeCell ref="F135:H135"/>
    <mergeCell ref="F132:H132"/>
    <mergeCell ref="F133:H133"/>
    <mergeCell ref="I133:L133"/>
    <mergeCell ref="M132:P132"/>
    <mergeCell ref="M133:P133"/>
    <mergeCell ref="I132:L132"/>
    <mergeCell ref="U133:Y133"/>
    <mergeCell ref="U136:Y136"/>
    <mergeCell ref="M136:P136"/>
    <mergeCell ref="F143:H143"/>
    <mergeCell ref="F142:H142"/>
    <mergeCell ref="M142:P142"/>
    <mergeCell ref="I142:L142"/>
    <mergeCell ref="M143:P143"/>
    <mergeCell ref="Q140:T140"/>
    <mergeCell ref="U141:Y141"/>
    <mergeCell ref="Q141:T141"/>
    <mergeCell ref="I141:L141"/>
    <mergeCell ref="M141:P141"/>
    <mergeCell ref="Q139:T139"/>
    <mergeCell ref="Q138:T138"/>
    <mergeCell ref="I139:L139"/>
    <mergeCell ref="I138:L138"/>
    <mergeCell ref="M140:P140"/>
    <mergeCell ref="U140:Y140"/>
    <mergeCell ref="F137:H137"/>
    <mergeCell ref="M139:P139"/>
    <mergeCell ref="F140:H140"/>
    <mergeCell ref="I140:L140"/>
    <mergeCell ref="M137:P137"/>
    <mergeCell ref="M138:P138"/>
    <mergeCell ref="F139:H139"/>
    <mergeCell ref="F138:H138"/>
    <mergeCell ref="U142:Y142"/>
    <mergeCell ref="Q142:T142"/>
    <mergeCell ref="F141:H141"/>
    <mergeCell ref="U139:Y139"/>
    <mergeCell ref="U137:Y137"/>
    <mergeCell ref="Q137:T137"/>
    <mergeCell ref="U138:Y138"/>
    <mergeCell ref="I137:L137"/>
    <mergeCell ref="S147:Y147"/>
    <mergeCell ref="N147:R147"/>
    <mergeCell ref="N150:R150"/>
    <mergeCell ref="I147:M147"/>
    <mergeCell ref="I151:M151"/>
    <mergeCell ref="N151:R151"/>
    <mergeCell ref="S148:Y148"/>
    <mergeCell ref="Q143:T143"/>
    <mergeCell ref="S144:Y144"/>
    <mergeCell ref="U143:Y143"/>
    <mergeCell ref="N144:R144"/>
    <mergeCell ref="I143:L143"/>
    <mergeCell ref="S146:Y146"/>
    <mergeCell ref="S145:Y145"/>
    <mergeCell ref="N145:R145"/>
    <mergeCell ref="N146:R146"/>
    <mergeCell ref="S150:Y150"/>
    <mergeCell ref="N152:R152"/>
    <mergeCell ref="S152:Y152"/>
    <mergeCell ref="S149:Y149"/>
    <mergeCell ref="I150:M150"/>
    <mergeCell ref="I149:M149"/>
    <mergeCell ref="N149:R149"/>
    <mergeCell ref="S151:Y151"/>
    <mergeCell ref="I148:M148"/>
    <mergeCell ref="N148:R148"/>
    <mergeCell ref="F157:H157"/>
    <mergeCell ref="F155:H155"/>
    <mergeCell ref="F156:H156"/>
    <mergeCell ref="I157:M157"/>
    <mergeCell ref="I155:M155"/>
    <mergeCell ref="I144:M144"/>
    <mergeCell ref="F150:H150"/>
    <mergeCell ref="F151:H151"/>
    <mergeCell ref="I146:M146"/>
    <mergeCell ref="F152:H152"/>
    <mergeCell ref="F153:H153"/>
    <mergeCell ref="F154:H154"/>
    <mergeCell ref="F148:H148"/>
    <mergeCell ref="F149:H149"/>
    <mergeCell ref="F147:H147"/>
    <mergeCell ref="I145:M145"/>
    <mergeCell ref="F145:H145"/>
    <mergeCell ref="I152:M152"/>
    <mergeCell ref="F144:H144"/>
    <mergeCell ref="F146:H146"/>
    <mergeCell ref="N157:R157"/>
    <mergeCell ref="S156:Y156"/>
    <mergeCell ref="I153:M153"/>
    <mergeCell ref="S157:Y157"/>
    <mergeCell ref="S155:Y155"/>
    <mergeCell ref="N155:R155"/>
    <mergeCell ref="S154:Y154"/>
    <mergeCell ref="S153:Y153"/>
    <mergeCell ref="I156:M156"/>
    <mergeCell ref="I154:M154"/>
    <mergeCell ref="N156:R156"/>
    <mergeCell ref="N153:R153"/>
    <mergeCell ref="N154:R154"/>
  </mergeCells>
  <phoneticPr fontId="20" type="noConversion"/>
  <dataValidations xWindow="545" yWindow="418" count="17">
    <dataValidation allowBlank="1" showInputMessage="1" showErrorMessage="1" promptTitle="U/s 80 CCG" prompt="&#10;&#10;જે રોકાણ કરે તેના ૫૦ ટકા બાદ મળવાપાત્ર છે. (વધુમાં વધુ ૨૫,૦૦૦ બાદ મળી શકે ) એટલે રૂ ૫૦,૦૦૦ કરતાં વધુ રોકાણ કરે તો પણ ઇન્કમટેક્ષમાં રાહત રૂ ૨૫૦૦૦ મળે&#10;&#10;આધાર માટે રોકાણની ઝેરોક્ષ બીડવી ફરજીયાત છે." sqref="U78:W80"/>
    <dataValidation type="date" operator="lessThan" showInputMessage="1" showErrorMessage="1" errorTitle="Cyber Group Dangs" error="તારીખ DD/MM/YYYY ફોર્મેટમાં જ નાંખવી. &#10;તમારા સીસ્ટમની ડેટ ફોર્મેટ DD/MM/YYYY હોવી જોઇએ જેના માટે Control Panel&gt;Regional Language&gt;Customize&gt;Date&gt;Short date format માં જઇ DD/MM/YYYY કરવું. " sqref="S117:T117">
      <formula1>TODAY()</formula1>
    </dataValidation>
    <dataValidation allowBlank="1" showInputMessage="1" showErrorMessage="1" promptTitle="Enter HBA Loan taken Date" prompt="જો લોનનું વ્યાજ હોય તો લોન લીધા તારીખ ઉપરના સેલમાં લખવી ફરજીયાત છે. અન્યથા સેલ blank રાખવું " sqref="S118:T118"/>
    <dataValidation type="list" allowBlank="1" showInputMessage="1" showErrorMessage="1" sqref="P114 M40">
      <formula1>$C$112:$C$113</formula1>
    </dataValidation>
    <dataValidation allowBlank="1" showInputMessage="1" showErrorMessage="1" promptTitle="For House Rent Allowance" prompt="જો તમો ઘરભાડું ભરતાં હોય તો PA Register માં મેળવેલ ઘરભાડું તેમજ મેળવેલ Pay, Grard Pay અને DA ની વિગત ભરવી ફરજીયાત છે." sqref="Q106:S106"/>
    <dataValidation allowBlank="1" showInputMessage="1" showErrorMessage="1" promptTitle="Cyber Group Dangs" prompt="&#10;Without Paybill Deduction&#10;&#10;પગાર બીલ સિવાય કપાત કરેલ મકાન લોનની મુદ્દલ રકમ અહીં લખો " sqref="M96:O96 Q23:R31"/>
    <dataValidation allowBlank="1" showInputMessage="1" showErrorMessage="1" promptTitle="Cyber Group Dangs" prompt="&#10;Without Paybill Deduction&#10;&#10;પગાર બીલ સિવાય કપાત કરેલ P L I ની રકમ અહીં લખો " sqref="M97:O97 U23:V31"/>
    <dataValidation allowBlank="1" showInputMessage="1" showErrorMessage="1" promptTitle="Cyber Group Dangs" prompt="&#10;Investment of N S C&#10;&#10;જો N S C માં રોકાણ કરેલ હોય તો તે રકમ અહીં લખો. " sqref="M93:O94"/>
    <dataValidation allowBlank="1" showInputMessage="1" showErrorMessage="1" promptTitle="Cyber Group Dangs" prompt="&#10;Fill up PA Register&#10;પહેલા પગાર આકારણ પત્રક ભરો. જમણી બાજુ ઉપર &quot;Fill up PA Register&#10;પગાર આકારણી પત્રક &quot; લખેલ પર કલીક કરો" sqref="E11:X22"/>
    <dataValidation allowBlank="1" showInputMessage="1" showErrorMessage="1" promptTitle="Cyber Group Dangs" prompt="&#10;Without Paybill Deduction&#10;&#10;પગાર બીલ સિવાય કપાત કરેલ એલ. આઇ. સી. ની રકમ અહીં લખો " sqref="O23:O31"/>
    <dataValidation allowBlank="1" showInputMessage="1" showErrorMessage="1" promptTitle="Cyber Group Dangs" prompt="&#10;Without Paybill Deduction&#10;&#10;પગાર બીલ સિવાય કપાત કરેલ Income Tax ની રકમ અહીં લખો " sqref="W23:X31"/>
    <dataValidation allowBlank="1" showInputMessage="1" showErrorMessage="1" promptTitle="Cyber Group Dangs" prompt="&#10;Without Paybill Deduction&#10;&#10;પગાર બીલ સિવાય કપાત કરેલ EPF / GPF ની રકમ અહીં લખો " sqref="K23:L31"/>
    <dataValidation allowBlank="1" showInputMessage="1" showErrorMessage="1" promptTitle="Cyber Group Dangs" prompt="&#10;Without Paybill Income&#10;&#10;પગાર બીલ સિવાય Arrearsની રકમમાં મેળવેલ Tran. Allow. ની રકમ અહીં લખો " sqref="I23:J31"/>
    <dataValidation allowBlank="1" showInputMessage="1" showErrorMessage="1" promptTitle="Cyber Group Dangs" prompt="&#10;Without Paybill Deduction&#10;&#10;પગાર બીલ સિવાય Arrearsની રકમમાંથી કપાત કરેલ Professional Tax ની રકમ અહીં લખો " sqref="G23:H31"/>
    <dataValidation allowBlank="1" showInputMessage="1" showErrorMessage="1" promptTitle="Cyber Group Dangs" prompt="&#10;Paybill Deduction&#10;&#10;અહીં દર્શાવેલ રકમ ઇન્કમટેક્ષ કેલ્યુલેશન સાથે કોઇ સબંધ નથી. કુલ સરવાળામાં આવશે નહી. " sqref="E30:F30"/>
    <dataValidation allowBlank="1" showInputMessage="1" showErrorMessage="1" promptTitle="Cyber Group Dangs" prompt="&#10;Bonus Income&#10;&#10;અહીં દર્શાવેલ બોનસની રકમ ઇન્કમટેક્ષ કેલ્યુલેશન પત્રકમાં સીધી દર્શાવેલ છે. કુલ સરવાળામાં આવશે નહી. " sqref="E29:F29"/>
    <dataValidation type="list" allowBlank="1" showInputMessage="1" showErrorMessage="1" sqref="S50:T50">
      <formula1>$S$47:$S$48</formula1>
    </dataValidation>
  </dataValidations>
  <hyperlinks>
    <hyperlink ref="A1" location="BACK" display="BACK"/>
    <hyperlink ref="A1:C1" location="MainMenu!A1" display="MainMenu!A1"/>
  </hyperlinks>
  <printOptions horizontalCentered="1" verticalCentered="1"/>
  <pageMargins left="0" right="0" top="0.29527559055118102" bottom="0.29527559055118102" header="0.118110236220472" footer="0.118110236220472"/>
  <pageSetup paperSize="9" scale="93" fitToHeight="2" orientation="portrait" r:id="rId1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  <rowBreaks count="1" manualBreakCount="1">
    <brk id="79" max="16383" man="1"/>
  </rowBreaks>
  <colBreaks count="1" manualBreakCount="1">
    <brk id="25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indexed="11"/>
  </sheetPr>
  <dimension ref="A1:AQ65538"/>
  <sheetViews>
    <sheetView showGridLines="0" showRowColHeaders="0" zoomScale="115" zoomScaleNormal="130" workbookViewId="0">
      <pane xSplit="1" ySplit="2" topLeftCell="B106" activePane="bottomRight" state="frozen"/>
      <selection activeCell="E20" sqref="E20:J20"/>
      <selection pane="topRight" activeCell="E20" sqref="E20:J20"/>
      <selection pane="bottomLeft" activeCell="E20" sqref="E20:J20"/>
      <selection pane="bottomRight" activeCell="B1" sqref="B1:I1"/>
    </sheetView>
  </sheetViews>
  <sheetFormatPr defaultColWidth="0" defaultRowHeight="15" zeroHeight="1"/>
  <cols>
    <col min="1" max="1" width="1.5" style="170" customWidth="1"/>
    <col min="2" max="2" width="0.875" style="170" customWidth="1"/>
    <col min="3" max="3" width="3.875" style="170" bestFit="1" customWidth="1"/>
    <col min="4" max="4" width="3.5" style="170" customWidth="1"/>
    <col min="5" max="6" width="4.125" style="170" customWidth="1"/>
    <col min="7" max="7" width="5" style="170" customWidth="1"/>
    <col min="8" max="8" width="4.125" style="170" customWidth="1"/>
    <col min="9" max="9" width="3.625" style="170" customWidth="1"/>
    <col min="10" max="11" width="4.125" style="170" customWidth="1"/>
    <col min="12" max="12" width="4.5" style="170" customWidth="1"/>
    <col min="13" max="13" width="4.125" style="170" customWidth="1"/>
    <col min="14" max="14" width="3.625" style="170" customWidth="1"/>
    <col min="15" max="16" width="3.5" style="170" customWidth="1"/>
    <col min="17" max="17" width="3.625" style="170" customWidth="1"/>
    <col min="18" max="18" width="4.625" style="170" customWidth="1"/>
    <col min="19" max="21" width="3.875" style="170" customWidth="1"/>
    <col min="22" max="22" width="3.375" style="170" customWidth="1"/>
    <col min="23" max="24" width="3.875" style="170" customWidth="1"/>
    <col min="25" max="25" width="3.375" style="170" bestFit="1" customWidth="1"/>
    <col min="26" max="26" width="2.375" style="170" customWidth="1"/>
    <col min="27" max="28" width="6.125" style="174" hidden="1" customWidth="1"/>
    <col min="29" max="29" width="18.375" style="174" hidden="1" customWidth="1"/>
    <col min="30" max="30" width="27" style="174" hidden="1" customWidth="1"/>
    <col min="31" max="31" width="7.25" style="174" hidden="1" customWidth="1"/>
    <col min="32" max="32" width="35" style="174" hidden="1" customWidth="1"/>
    <col min="33" max="33" width="17.875" style="174" hidden="1" customWidth="1"/>
    <col min="34" max="34" width="5.125" style="174" hidden="1" customWidth="1"/>
    <col min="35" max="42" width="3.875" style="174" hidden="1" customWidth="1"/>
    <col min="43" max="43" width="5.25" style="174" hidden="1" customWidth="1"/>
    <col min="44" max="16384" width="9" style="174" hidden="1"/>
  </cols>
  <sheetData>
    <row r="1" spans="1:34" s="2" customFormat="1" ht="30.75" customHeight="1" thickBot="1">
      <c r="A1" s="26" t="s">
        <v>73</v>
      </c>
      <c r="B1" s="1586" t="s">
        <v>90</v>
      </c>
      <c r="C1" s="1586"/>
      <c r="D1" s="1586"/>
      <c r="E1" s="1586"/>
      <c r="F1" s="1586"/>
      <c r="G1" s="1586"/>
      <c r="H1" s="1586"/>
      <c r="I1" s="1586"/>
      <c r="J1" s="73"/>
      <c r="K1" s="1587" t="s">
        <v>12</v>
      </c>
      <c r="L1" s="1587"/>
      <c r="M1" s="1587"/>
      <c r="N1" s="1587"/>
      <c r="O1" s="1587"/>
      <c r="P1" s="1587"/>
      <c r="Q1" s="1587"/>
      <c r="R1" s="1587"/>
      <c r="S1" s="1587"/>
      <c r="T1" s="1587"/>
      <c r="U1" s="1587"/>
      <c r="V1" s="1587"/>
      <c r="W1" s="1587"/>
      <c r="X1" s="1587"/>
      <c r="Y1" s="972"/>
      <c r="Z1" s="237"/>
    </row>
    <row r="2" spans="1:34" s="2" customFormat="1" ht="18.75" customHeight="1" thickTop="1" thickBot="1">
      <c r="A2" s="26" t="s">
        <v>73</v>
      </c>
      <c r="B2" s="139"/>
      <c r="C2" s="140" t="s">
        <v>474</v>
      </c>
      <c r="D2" s="131"/>
      <c r="E2" s="131"/>
      <c r="F2" s="131"/>
      <c r="G2" s="131"/>
      <c r="H2" s="131"/>
      <c r="I2" s="131"/>
      <c r="J2" s="130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3"/>
      <c r="Y2" s="972"/>
      <c r="Z2" s="237"/>
    </row>
    <row r="3" spans="1:34" ht="21.75" customHeight="1" thickTop="1">
      <c r="B3" s="171"/>
      <c r="C3" s="172" t="str">
        <f>'Master Deails'!A23</f>
        <v>DANGS DISTRICT PANCHAYAT AHWA</v>
      </c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027"/>
      <c r="Z3" s="171"/>
      <c r="AA3" s="997"/>
      <c r="AB3" s="997"/>
      <c r="AC3" s="997"/>
      <c r="AD3" s="997"/>
      <c r="AE3" s="997"/>
      <c r="AF3" s="997"/>
      <c r="AG3" s="997"/>
      <c r="AH3" s="997"/>
    </row>
    <row r="4" spans="1:34" ht="15.75">
      <c r="C4" s="175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6" t="s">
        <v>30</v>
      </c>
      <c r="U4" s="1589">
        <f>'Master Deails'!C2</f>
        <v>44256</v>
      </c>
      <c r="V4" s="1589"/>
      <c r="W4" s="1588">
        <f>'Master Deails'!E2</f>
        <v>44562</v>
      </c>
      <c r="X4" s="1588"/>
      <c r="Y4" s="1027"/>
      <c r="Z4" s="171"/>
      <c r="AA4" s="997"/>
      <c r="AB4" s="997"/>
      <c r="AC4" s="997"/>
      <c r="AD4" s="997"/>
      <c r="AE4" s="997"/>
      <c r="AF4" s="997"/>
      <c r="AG4" s="997"/>
      <c r="AH4" s="997"/>
    </row>
    <row r="5" spans="1:34" ht="15.75">
      <c r="C5" s="175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6" t="s">
        <v>31</v>
      </c>
      <c r="O5" s="1589">
        <f>'Master Deails'!G2</f>
        <v>44562</v>
      </c>
      <c r="P5" s="1590"/>
      <c r="Q5" s="1588">
        <f>'Master Deails'!H2</f>
        <v>45119</v>
      </c>
      <c r="R5" s="1588"/>
      <c r="S5" s="173"/>
      <c r="T5" s="173"/>
      <c r="U5" s="173"/>
      <c r="V5" s="173"/>
      <c r="W5" s="173"/>
      <c r="X5" s="173"/>
      <c r="Y5" s="1027"/>
      <c r="Z5" s="171"/>
      <c r="AA5" s="997"/>
      <c r="AB5" s="997"/>
      <c r="AC5" s="997"/>
      <c r="AD5" s="997"/>
      <c r="AE5" s="997"/>
      <c r="AF5" s="997"/>
      <c r="AG5" s="997"/>
      <c r="AH5" s="997"/>
    </row>
    <row r="6" spans="1:34" ht="2.25" customHeight="1">
      <c r="Y6" s="1027"/>
      <c r="Z6" s="171"/>
      <c r="AA6" s="997"/>
      <c r="AB6" s="997"/>
      <c r="AC6" s="997"/>
      <c r="AD6" s="997"/>
      <c r="AE6" s="997"/>
      <c r="AF6" s="997"/>
      <c r="AG6" s="997"/>
      <c r="AH6" s="997"/>
    </row>
    <row r="7" spans="1:34" ht="17.25" customHeight="1">
      <c r="C7" s="1591" t="s">
        <v>56</v>
      </c>
      <c r="D7" s="1592"/>
      <c r="E7" s="1592"/>
      <c r="F7" s="1593"/>
      <c r="G7" s="1604" t="str">
        <f>'Master Deails'!A8</f>
        <v>KIRITCHANDRA JAYANTILAL PATEL</v>
      </c>
      <c r="H7" s="1605"/>
      <c r="I7" s="1605"/>
      <c r="J7" s="1605"/>
      <c r="K7" s="1605"/>
      <c r="L7" s="1605"/>
      <c r="M7" s="1605"/>
      <c r="N7" s="1605"/>
      <c r="O7" s="1605"/>
      <c r="P7" s="1605"/>
      <c r="Q7" s="1605"/>
      <c r="R7" s="1605"/>
      <c r="S7" s="1605"/>
      <c r="T7" s="1605"/>
      <c r="U7" s="1605"/>
      <c r="V7" s="1605"/>
      <c r="W7" s="1605"/>
      <c r="X7" s="1606"/>
      <c r="Y7" s="1027"/>
      <c r="Z7" s="171"/>
      <c r="AA7" s="997"/>
      <c r="AB7" s="997"/>
      <c r="AC7" s="997"/>
      <c r="AD7" s="997"/>
      <c r="AE7" s="997"/>
      <c r="AF7" s="997"/>
      <c r="AG7" s="997"/>
      <c r="AH7" s="997"/>
    </row>
    <row r="8" spans="1:34" ht="17.25" customHeight="1">
      <c r="C8" s="1591" t="s">
        <v>93</v>
      </c>
      <c r="D8" s="1592"/>
      <c r="E8" s="1592"/>
      <c r="F8" s="1593"/>
      <c r="G8" s="1604" t="str">
        <f>'Master Deails'!A18</f>
        <v>RETIRED PS 2 DDO DANGS</v>
      </c>
      <c r="H8" s="1605"/>
      <c r="I8" s="1605"/>
      <c r="J8" s="1605"/>
      <c r="K8" s="1605"/>
      <c r="L8" s="1605"/>
      <c r="M8" s="1605"/>
      <c r="N8" s="1605"/>
      <c r="O8" s="1605"/>
      <c r="P8" s="1605"/>
      <c r="Q8" s="1605"/>
      <c r="R8" s="1605"/>
      <c r="S8" s="1605"/>
      <c r="T8" s="1605"/>
      <c r="U8" s="1605"/>
      <c r="V8" s="1605"/>
      <c r="W8" s="1605"/>
      <c r="X8" s="1606"/>
      <c r="Y8" s="1027"/>
      <c r="Z8" s="171"/>
      <c r="AA8" s="997"/>
      <c r="AB8" s="997"/>
      <c r="AC8" s="997"/>
      <c r="AD8" s="997"/>
      <c r="AE8" s="997"/>
      <c r="AF8" s="997"/>
      <c r="AG8" s="997"/>
      <c r="AH8" s="997"/>
    </row>
    <row r="9" spans="1:34" ht="21" customHeight="1">
      <c r="C9" s="1607" t="s">
        <v>13</v>
      </c>
      <c r="D9" s="1608"/>
      <c r="E9" s="1608"/>
      <c r="F9" s="1608"/>
      <c r="G9" s="1609"/>
      <c r="H9" s="1598" t="str">
        <f>CONCATENATE('Master Deails'!H10,'Master Deails'!L2,'Master Deails'!H11,'Master Deails'!L2,'Master Deails'!H12,'Master Deails'!L2,'Master Deails'!H13,'Master Deails'!L2,'Master Deails'!H14,'Master Deails'!L2,'Master Deails'!H15)</f>
        <v>8/111,Various Colony,Near SBI Staff Qtrs,Sunset Point Road,Ahwa Dist. Dangs,GUJARAT</v>
      </c>
      <c r="I9" s="1599"/>
      <c r="J9" s="1599"/>
      <c r="K9" s="1599"/>
      <c r="L9" s="1599"/>
      <c r="M9" s="1599"/>
      <c r="N9" s="1599"/>
      <c r="O9" s="1599"/>
      <c r="P9" s="1599"/>
      <c r="Q9" s="1599"/>
      <c r="R9" s="1599"/>
      <c r="S9" s="1599"/>
      <c r="T9" s="1599"/>
      <c r="U9" s="1599"/>
      <c r="V9" s="1599"/>
      <c r="W9" s="1599"/>
      <c r="X9" s="1600"/>
      <c r="Y9" s="1027"/>
      <c r="Z9" s="171"/>
      <c r="AA9" s="997"/>
      <c r="AB9" s="997"/>
      <c r="AC9" s="997"/>
      <c r="AD9" s="997"/>
      <c r="AE9" s="997"/>
      <c r="AF9" s="997"/>
      <c r="AG9" s="997"/>
      <c r="AH9" s="997"/>
    </row>
    <row r="10" spans="1:34" ht="21" customHeight="1">
      <c r="C10" s="1610"/>
      <c r="D10" s="1611"/>
      <c r="E10" s="1611"/>
      <c r="F10" s="1611"/>
      <c r="G10" s="1612"/>
      <c r="H10" s="1601"/>
      <c r="I10" s="1602"/>
      <c r="J10" s="1602"/>
      <c r="K10" s="1602"/>
      <c r="L10" s="1602"/>
      <c r="M10" s="1602"/>
      <c r="N10" s="1602"/>
      <c r="O10" s="1602"/>
      <c r="P10" s="1602"/>
      <c r="Q10" s="1602"/>
      <c r="R10" s="1602"/>
      <c r="S10" s="1602"/>
      <c r="T10" s="1602"/>
      <c r="U10" s="1602"/>
      <c r="V10" s="1602"/>
      <c r="W10" s="1602"/>
      <c r="X10" s="1603"/>
      <c r="Y10" s="1027"/>
      <c r="Z10" s="171"/>
      <c r="AA10" s="997"/>
      <c r="AB10" s="997"/>
      <c r="AC10" s="997"/>
      <c r="AD10" s="997"/>
      <c r="AE10" s="997"/>
      <c r="AF10" s="997"/>
      <c r="AG10" s="997"/>
      <c r="AH10" s="997"/>
    </row>
    <row r="11" spans="1:34" ht="15.75">
      <c r="C11" s="179" t="s">
        <v>114</v>
      </c>
      <c r="D11" s="179"/>
      <c r="E11" s="1596" t="str">
        <f>'Master Deails'!B19</f>
        <v>ACFPP3047F</v>
      </c>
      <c r="F11" s="1597"/>
      <c r="G11" s="1597"/>
      <c r="H11" s="1597"/>
      <c r="I11" s="1597"/>
      <c r="J11" s="1597"/>
      <c r="K11" s="1597"/>
      <c r="L11" s="1597"/>
      <c r="M11" s="1597"/>
      <c r="N11" s="1597"/>
      <c r="O11" s="1597"/>
      <c r="P11" s="1597"/>
      <c r="Q11" s="1597"/>
      <c r="R11" s="1597"/>
      <c r="S11" s="180" t="s">
        <v>115</v>
      </c>
      <c r="T11" s="181"/>
      <c r="U11" s="1594" t="s">
        <v>158</v>
      </c>
      <c r="V11" s="1594"/>
      <c r="W11" s="1594"/>
      <c r="X11" s="1595"/>
      <c r="Y11" s="1027"/>
      <c r="Z11" s="171"/>
      <c r="AA11" s="997"/>
      <c r="AB11" s="997"/>
      <c r="AC11" s="997"/>
      <c r="AD11" s="997"/>
      <c r="AE11" s="997"/>
      <c r="AF11" s="997"/>
      <c r="AG11" s="997"/>
      <c r="AH11" s="997"/>
    </row>
    <row r="12" spans="1:34" ht="15.75">
      <c r="C12" s="182" t="s">
        <v>116</v>
      </c>
      <c r="D12" s="183" t="s">
        <v>117</v>
      </c>
      <c r="E12" s="184"/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5" t="s">
        <v>69</v>
      </c>
      <c r="W12" s="185"/>
      <c r="X12" s="186"/>
      <c r="Y12" s="1027"/>
      <c r="Z12" s="171"/>
      <c r="AA12" s="997"/>
      <c r="AB12" s="997"/>
      <c r="AC12" s="997"/>
      <c r="AD12" s="997"/>
      <c r="AE12" s="997"/>
      <c r="AF12" s="997"/>
      <c r="AG12" s="997"/>
      <c r="AH12" s="997"/>
    </row>
    <row r="13" spans="1:34">
      <c r="C13" s="187">
        <v>1</v>
      </c>
      <c r="D13" s="1181" t="s">
        <v>118</v>
      </c>
      <c r="E13" s="1179"/>
      <c r="F13" s="1179"/>
      <c r="G13" s="1179"/>
      <c r="H13" s="1179"/>
      <c r="I13" s="1179"/>
      <c r="J13" s="1179"/>
      <c r="K13" s="1179"/>
      <c r="L13" s="1179"/>
      <c r="M13" s="1179"/>
      <c r="N13" s="1179"/>
      <c r="O13" s="1179"/>
      <c r="P13" s="1179"/>
      <c r="Q13" s="1179"/>
      <c r="R13" s="1179"/>
      <c r="S13" s="1618">
        <f>('Earning- Salary'!N26+'Other than Salary Income'!U38+'Other than Salary Income'!U39+'Other than Salary Income'!U43+'Other than Salary Income'!U41) -('Earning- Salary'!N46)</f>
        <v>905042</v>
      </c>
      <c r="T13" s="1618"/>
      <c r="U13" s="1618"/>
      <c r="V13" s="1179"/>
      <c r="W13" s="1179"/>
      <c r="X13" s="1180"/>
      <c r="Y13" s="1027"/>
      <c r="Z13" s="171"/>
      <c r="AA13" s="997"/>
      <c r="AB13" s="997"/>
      <c r="AC13" s="997"/>
      <c r="AD13" s="997"/>
      <c r="AE13" s="997"/>
      <c r="AF13" s="997"/>
      <c r="AG13" s="997"/>
      <c r="AH13" s="997"/>
    </row>
    <row r="14" spans="1:34" ht="33.75" customHeight="1">
      <c r="C14" s="188"/>
      <c r="D14" s="1101" t="s">
        <v>58</v>
      </c>
      <c r="E14" s="1617" t="s">
        <v>14</v>
      </c>
      <c r="F14" s="1617"/>
      <c r="G14" s="1617"/>
      <c r="H14" s="1617"/>
      <c r="I14" s="1617"/>
      <c r="J14" s="1617"/>
      <c r="K14" s="1617"/>
      <c r="L14" s="1617"/>
      <c r="M14" s="1617"/>
      <c r="N14" s="1617"/>
      <c r="O14" s="1617"/>
      <c r="P14" s="1617"/>
      <c r="Q14" s="1614" t="s">
        <v>264</v>
      </c>
      <c r="R14" s="1616"/>
      <c r="S14" s="1614" t="s">
        <v>649</v>
      </c>
      <c r="T14" s="1615"/>
      <c r="U14" s="1616"/>
      <c r="V14" s="1613">
        <f>S13</f>
        <v>905042</v>
      </c>
      <c r="W14" s="1613"/>
      <c r="X14" s="1613"/>
      <c r="Y14" s="1027"/>
      <c r="Z14" s="171"/>
      <c r="AA14" s="997"/>
      <c r="AB14" s="997"/>
      <c r="AC14" s="997"/>
      <c r="AD14" s="997"/>
      <c r="AE14" s="997"/>
      <c r="AF14" s="997"/>
      <c r="AG14" s="997"/>
      <c r="AH14" s="997"/>
    </row>
    <row r="15" spans="1:34" ht="18" customHeight="1">
      <c r="C15" s="188"/>
      <c r="D15" s="1101" t="s">
        <v>59</v>
      </c>
      <c r="E15" s="1583" t="s">
        <v>650</v>
      </c>
      <c r="F15" s="1583"/>
      <c r="G15" s="1583"/>
      <c r="H15" s="1583"/>
      <c r="I15" s="1583"/>
      <c r="J15" s="1583"/>
      <c r="K15" s="1583"/>
      <c r="L15" s="1583"/>
      <c r="M15" s="1583"/>
      <c r="N15" s="1583"/>
      <c r="O15" s="1583"/>
      <c r="P15" s="1583"/>
      <c r="Q15" s="1584"/>
      <c r="R15" s="1585"/>
      <c r="S15" s="1568">
        <f>'Other than Salary Income'!U46</f>
        <v>0</v>
      </c>
      <c r="T15" s="1569"/>
      <c r="U15" s="1570"/>
      <c r="V15" s="1560"/>
      <c r="W15" s="1561"/>
      <c r="X15" s="1562"/>
      <c r="Y15" s="1027"/>
      <c r="Z15" s="171"/>
      <c r="AA15" s="997"/>
      <c r="AB15" s="997"/>
      <c r="AC15" s="997"/>
      <c r="AD15" s="997"/>
      <c r="AE15" s="997"/>
      <c r="AF15" s="997"/>
      <c r="AG15" s="997"/>
      <c r="AH15" s="997"/>
    </row>
    <row r="16" spans="1:34" ht="18" customHeight="1">
      <c r="C16" s="188"/>
      <c r="D16" s="1101" t="s">
        <v>60</v>
      </c>
      <c r="E16" s="1177" t="s">
        <v>119</v>
      </c>
      <c r="F16" s="1178"/>
      <c r="G16" s="1178"/>
      <c r="H16" s="1178"/>
      <c r="I16" s="1178"/>
      <c r="J16" s="1178"/>
      <c r="K16" s="1178"/>
      <c r="L16" s="1178"/>
      <c r="M16" s="1178"/>
      <c r="N16" s="1178"/>
      <c r="O16" s="1178"/>
      <c r="P16" s="1178"/>
      <c r="Q16" s="1584"/>
      <c r="R16" s="1585"/>
      <c r="S16" s="1568">
        <f>'Other than Salary Income'!E29</f>
        <v>0</v>
      </c>
      <c r="T16" s="1569"/>
      <c r="U16" s="1570"/>
      <c r="V16" s="1565"/>
      <c r="W16" s="1566"/>
      <c r="X16" s="1567"/>
      <c r="Y16" s="1027"/>
      <c r="Z16" s="171"/>
      <c r="AA16" s="997"/>
      <c r="AB16" s="997"/>
      <c r="AC16" s="997"/>
      <c r="AD16" s="997"/>
      <c r="AE16" s="997"/>
      <c r="AF16" s="997"/>
      <c r="AG16" s="997"/>
      <c r="AH16" s="997"/>
    </row>
    <row r="17" spans="3:34" ht="18" customHeight="1">
      <c r="C17" s="618" t="s">
        <v>468</v>
      </c>
      <c r="D17" s="1101" t="s">
        <v>71</v>
      </c>
      <c r="E17" s="194" t="s">
        <v>120</v>
      </c>
      <c r="F17" s="196"/>
      <c r="G17" s="196"/>
      <c r="H17" s="1580" t="str">
        <f>'Other than Salary Income'!H47</f>
        <v>Max. deduction of Rs. 10000 U/s 80TTA, 50000 U/s 80TTB</v>
      </c>
      <c r="I17" s="1580"/>
      <c r="J17" s="1580"/>
      <c r="K17" s="1580"/>
      <c r="L17" s="1580"/>
      <c r="M17" s="1580"/>
      <c r="N17" s="1580"/>
      <c r="O17" s="1580"/>
      <c r="P17" s="1580"/>
      <c r="Q17" s="1581">
        <f>'Other than Salary Income'!$U$47</f>
        <v>25000</v>
      </c>
      <c r="R17" s="1582"/>
      <c r="S17" s="1572">
        <f>IF('Master Deails'!B5=6,'Other than Salary Income'!T47,'Other than Salary Income'!S47)</f>
        <v>15000</v>
      </c>
      <c r="T17" s="1573"/>
      <c r="U17" s="1574"/>
      <c r="V17" s="1565"/>
      <c r="W17" s="1566"/>
      <c r="X17" s="1567"/>
      <c r="Y17" s="1027"/>
      <c r="Z17" s="171"/>
      <c r="AA17" s="997"/>
      <c r="AB17" s="997"/>
      <c r="AC17" s="997"/>
      <c r="AD17" s="997"/>
      <c r="AE17" s="997"/>
      <c r="AF17" s="997"/>
      <c r="AG17" s="997"/>
      <c r="AH17" s="997"/>
    </row>
    <row r="18" spans="3:34" ht="18" customHeight="1">
      <c r="C18" s="188"/>
      <c r="D18" s="1101" t="s">
        <v>102</v>
      </c>
      <c r="E18" s="196" t="s">
        <v>121</v>
      </c>
      <c r="F18" s="196"/>
      <c r="G18" s="196"/>
      <c r="H18" s="1312" t="s">
        <v>362</v>
      </c>
      <c r="I18" s="1312"/>
      <c r="J18" s="1312"/>
      <c r="K18" s="1312"/>
      <c r="L18" s="1312"/>
      <c r="M18" s="1312"/>
      <c r="N18" s="1312"/>
      <c r="O18" s="1312"/>
      <c r="P18" s="1312"/>
      <c r="Q18" s="1581">
        <f>'Other than Salary Income'!U48</f>
        <v>15000</v>
      </c>
      <c r="R18" s="1582"/>
      <c r="S18" s="1572">
        <f>IF('Other than Salary Income'!U48&gt;10000,'Other than Salary Income'!U48-10000,0)</f>
        <v>5000</v>
      </c>
      <c r="T18" s="1573"/>
      <c r="U18" s="1574"/>
      <c r="V18" s="1565"/>
      <c r="W18" s="1566"/>
      <c r="X18" s="1567"/>
      <c r="Y18" s="1027"/>
      <c r="Z18" s="171"/>
      <c r="AA18" s="997"/>
      <c r="AB18" s="997"/>
      <c r="AC18" s="997"/>
      <c r="AD18" s="997"/>
      <c r="AE18" s="997"/>
      <c r="AF18" s="997"/>
      <c r="AG18" s="997"/>
      <c r="AH18" s="997"/>
    </row>
    <row r="19" spans="3:34" ht="18" customHeight="1">
      <c r="C19" s="188"/>
      <c r="D19" s="1101" t="s">
        <v>106</v>
      </c>
      <c r="E19" s="1575" t="s">
        <v>122</v>
      </c>
      <c r="F19" s="1576"/>
      <c r="G19" s="1576"/>
      <c r="H19" s="1576"/>
      <c r="I19" s="1576"/>
      <c r="J19" s="1576"/>
      <c r="K19" s="1576"/>
      <c r="L19" s="1576"/>
      <c r="M19" s="1576"/>
      <c r="N19" s="1576"/>
      <c r="O19" s="1576"/>
      <c r="P19" s="1576"/>
      <c r="Q19" s="1576"/>
      <c r="R19" s="1576"/>
      <c r="S19" s="1568">
        <f>'Other than Salary Income'!U49</f>
        <v>0</v>
      </c>
      <c r="T19" s="1569"/>
      <c r="U19" s="1570"/>
      <c r="V19" s="1565"/>
      <c r="W19" s="1566"/>
      <c r="X19" s="1567"/>
      <c r="Y19" s="1027"/>
      <c r="Z19" s="171"/>
      <c r="AA19" s="997"/>
      <c r="AB19" s="997"/>
      <c r="AC19" s="997"/>
      <c r="AD19" s="997"/>
      <c r="AE19" s="997"/>
      <c r="AF19" s="997"/>
      <c r="AG19" s="997"/>
      <c r="AH19" s="997"/>
    </row>
    <row r="20" spans="3:34" ht="18" customHeight="1">
      <c r="C20" s="188"/>
      <c r="D20" s="1037" t="s">
        <v>103</v>
      </c>
      <c r="E20" s="1577" t="str">
        <f>'Other than Salary Income'!D50</f>
        <v>Retirement Gratuity</v>
      </c>
      <c r="F20" s="1578"/>
      <c r="G20" s="1578"/>
      <c r="H20" s="1578"/>
      <c r="I20" s="1578"/>
      <c r="J20" s="1578"/>
      <c r="K20" s="1579"/>
      <c r="L20" s="1579"/>
      <c r="M20" s="1579"/>
      <c r="N20" s="1579"/>
      <c r="O20" s="1579"/>
      <c r="P20" s="178"/>
      <c r="Q20" s="1571">
        <f>'Other than Salary Income'!U50</f>
        <v>1500000</v>
      </c>
      <c r="R20" s="1571"/>
      <c r="S20" s="1568">
        <v>0</v>
      </c>
      <c r="T20" s="1569"/>
      <c r="U20" s="1570"/>
      <c r="V20" s="416"/>
      <c r="W20" s="417"/>
      <c r="X20" s="418"/>
      <c r="Y20" s="1027"/>
      <c r="Z20" s="171"/>
      <c r="AA20" s="997"/>
      <c r="AB20" s="997"/>
      <c r="AC20" s="997"/>
      <c r="AD20" s="997"/>
      <c r="AE20" s="997"/>
      <c r="AF20" s="997"/>
      <c r="AG20" s="997"/>
      <c r="AH20" s="997"/>
    </row>
    <row r="21" spans="3:34" ht="18" customHeight="1">
      <c r="C21" s="188"/>
      <c r="D21" s="910" t="s">
        <v>375</v>
      </c>
      <c r="E21" s="1563" t="str">
        <f>'Other than Salary Income'!D51</f>
        <v xml:space="preserve">Leave Salary in Retirement Govt. Employee </v>
      </c>
      <c r="F21" s="1564"/>
      <c r="G21" s="1564"/>
      <c r="H21" s="1564"/>
      <c r="I21" s="1564"/>
      <c r="J21" s="1564"/>
      <c r="K21" s="1564"/>
      <c r="L21" s="1564"/>
      <c r="M21" s="1564"/>
      <c r="N21" s="1564"/>
      <c r="O21" s="1564"/>
      <c r="P21" s="178"/>
      <c r="Q21" s="1559">
        <f>'Other than Salary Income'!U51</f>
        <v>400000</v>
      </c>
      <c r="R21" s="1559"/>
      <c r="S21" s="1572">
        <v>0</v>
      </c>
      <c r="T21" s="1573"/>
      <c r="U21" s="1574"/>
      <c r="V21" s="416"/>
      <c r="W21" s="417"/>
      <c r="X21" s="418"/>
      <c r="Y21" s="1027"/>
      <c r="Z21" s="171"/>
      <c r="AA21" s="997"/>
      <c r="AB21" s="997"/>
      <c r="AC21" s="997"/>
      <c r="AD21" s="997"/>
      <c r="AE21" s="997"/>
      <c r="AF21" s="997"/>
      <c r="AG21" s="997"/>
      <c r="AH21" s="997"/>
    </row>
    <row r="22" spans="3:34" ht="18" customHeight="1">
      <c r="C22" s="188"/>
      <c r="D22" s="1037" t="s">
        <v>101</v>
      </c>
      <c r="E22" s="1577" t="str">
        <f>'Other than Salary Income'!D52</f>
        <v>Retrenchment Compensation</v>
      </c>
      <c r="F22" s="1578"/>
      <c r="G22" s="1578"/>
      <c r="H22" s="1578"/>
      <c r="I22" s="1578"/>
      <c r="J22" s="1578"/>
      <c r="K22" s="1579"/>
      <c r="L22" s="1579"/>
      <c r="M22" s="1579"/>
      <c r="N22" s="1579"/>
      <c r="O22" s="1579"/>
      <c r="P22" s="178"/>
      <c r="Q22" s="1571">
        <f>'Other than Salary Income'!U52</f>
        <v>2500000</v>
      </c>
      <c r="R22" s="1571"/>
      <c r="S22" s="1627">
        <v>0</v>
      </c>
      <c r="T22" s="1628"/>
      <c r="U22" s="1629"/>
      <c r="V22" s="416"/>
      <c r="W22" s="417"/>
      <c r="X22" s="418"/>
      <c r="Y22" s="1197"/>
      <c r="Z22" s="1197"/>
      <c r="AA22" s="997"/>
      <c r="AB22" s="997"/>
      <c r="AC22" s="997"/>
      <c r="AD22" s="997"/>
      <c r="AE22" s="997"/>
      <c r="AF22" s="997"/>
      <c r="AG22" s="997"/>
      <c r="AH22" s="997"/>
    </row>
    <row r="23" spans="3:34" ht="18" customHeight="1">
      <c r="C23" s="188"/>
      <c r="D23" s="1037" t="s">
        <v>376</v>
      </c>
      <c r="E23" s="1577" t="str">
        <f>'Other than Salary Income'!D54</f>
        <v>Agricultural Income</v>
      </c>
      <c r="F23" s="1578"/>
      <c r="G23" s="1578"/>
      <c r="H23" s="1578"/>
      <c r="I23" s="1578"/>
      <c r="J23" s="1578"/>
      <c r="K23" s="1579" t="str">
        <f>'Other than Salary Income'!N54</f>
        <v>U/s Section 10(1) Ded. Max. 5000</v>
      </c>
      <c r="L23" s="1579"/>
      <c r="M23" s="1579"/>
      <c r="N23" s="1579"/>
      <c r="O23" s="1579"/>
      <c r="P23" s="1630"/>
      <c r="Q23" s="1571">
        <f>'Other than Salary Income'!U54</f>
        <v>5000</v>
      </c>
      <c r="R23" s="1571"/>
      <c r="S23" s="1627">
        <f>IF(Q23&lt;=5000,Q23,Q23-5000)</f>
        <v>5000</v>
      </c>
      <c r="T23" s="1628"/>
      <c r="U23" s="1629"/>
      <c r="V23" s="416"/>
      <c r="W23" s="417"/>
      <c r="X23" s="418"/>
      <c r="Y23" s="1197"/>
      <c r="Z23" s="1197"/>
      <c r="AA23" s="997"/>
      <c r="AB23" s="997"/>
      <c r="AC23" s="997"/>
      <c r="AD23" s="997"/>
      <c r="AE23" s="997"/>
      <c r="AF23" s="997"/>
      <c r="AG23" s="997"/>
      <c r="AH23" s="997"/>
    </row>
    <row r="24" spans="3:34" ht="18" customHeight="1">
      <c r="C24" s="188"/>
      <c r="D24" s="910" t="s">
        <v>377</v>
      </c>
      <c r="E24" s="1164" t="s">
        <v>573</v>
      </c>
      <c r="F24" s="1163"/>
      <c r="G24" s="1163"/>
      <c r="H24" s="1165">
        <f>IF(Z24&gt;15000,15000,Z24)</f>
        <v>13333</v>
      </c>
      <c r="I24" s="1165">
        <f>'Other than Salary Income'!U55</f>
        <v>40000</v>
      </c>
      <c r="J24" s="1631" t="str">
        <f>'Other than Salary Income'!K55</f>
        <v>U/s Section 10(18) Ded. Max. 15000 or 1/3 which is less</v>
      </c>
      <c r="K24" s="1631"/>
      <c r="L24" s="1631"/>
      <c r="M24" s="1631"/>
      <c r="N24" s="1631"/>
      <c r="O24" s="1631"/>
      <c r="P24" s="1632"/>
      <c r="Q24" s="1559">
        <f>'Other than Salary Income'!U55</f>
        <v>40000</v>
      </c>
      <c r="R24" s="1559"/>
      <c r="S24" s="1572">
        <f>I24-H24</f>
        <v>26667</v>
      </c>
      <c r="T24" s="1573"/>
      <c r="U24" s="1574"/>
      <c r="V24" s="1160"/>
      <c r="W24" s="1161"/>
      <c r="X24" s="1162"/>
      <c r="Y24" s="1198" t="s">
        <v>572</v>
      </c>
      <c r="Z24" s="1198">
        <f>ROUND(Q24/3,0)</f>
        <v>13333</v>
      </c>
      <c r="AA24" s="171"/>
      <c r="AB24" s="997"/>
      <c r="AC24" s="997"/>
      <c r="AD24" s="997"/>
      <c r="AE24" s="997"/>
      <c r="AF24" s="997"/>
      <c r="AG24" s="997"/>
      <c r="AH24" s="997"/>
    </row>
    <row r="25" spans="3:34" ht="18" customHeight="1">
      <c r="C25" s="188"/>
      <c r="D25" s="1037" t="s">
        <v>571</v>
      </c>
      <c r="E25" s="1577" t="str">
        <f>'Other than Salary Income'!D56</f>
        <v>Other Income Sources [ if any ]</v>
      </c>
      <c r="F25" s="1578"/>
      <c r="G25" s="1578"/>
      <c r="H25" s="1578"/>
      <c r="I25" s="1578"/>
      <c r="J25" s="1578"/>
      <c r="K25" s="1578"/>
      <c r="L25" s="196"/>
      <c r="M25" s="196"/>
      <c r="N25" s="196"/>
      <c r="O25" s="196"/>
      <c r="P25" s="1808">
        <f>'Other than Salary Income'!U56</f>
        <v>0</v>
      </c>
      <c r="Q25" s="1808"/>
      <c r="R25" s="1809"/>
      <c r="S25" s="1572">
        <f>'Other than Salary Income'!U56</f>
        <v>0</v>
      </c>
      <c r="T25" s="1573"/>
      <c r="U25" s="1574"/>
      <c r="V25" s="1822"/>
      <c r="W25" s="1823"/>
      <c r="X25" s="1824"/>
      <c r="Y25" s="1197"/>
      <c r="Z25" s="1197"/>
      <c r="AA25" s="997"/>
      <c r="AB25" s="997"/>
      <c r="AC25" s="997"/>
      <c r="AD25" s="997"/>
      <c r="AE25" s="997"/>
      <c r="AF25" s="997"/>
      <c r="AG25" s="997"/>
      <c r="AH25" s="997"/>
    </row>
    <row r="26" spans="3:34" ht="18" customHeight="1">
      <c r="C26" s="189"/>
      <c r="D26" s="1037" t="s">
        <v>586</v>
      </c>
      <c r="E26" s="196"/>
      <c r="F26" s="196"/>
      <c r="G26" s="196"/>
      <c r="H26" s="196"/>
      <c r="I26" s="196"/>
      <c r="J26" s="196"/>
      <c r="K26" s="196"/>
      <c r="L26" s="1100"/>
      <c r="M26" s="1100"/>
      <c r="N26" s="1100"/>
      <c r="O26" s="1679">
        <f>SUM(P20:R25)</f>
        <v>4445000</v>
      </c>
      <c r="P26" s="1679"/>
      <c r="Q26" s="1679"/>
      <c r="R26" s="1100"/>
      <c r="S26" s="1569">
        <f>SUM(S15:U25)</f>
        <v>51667</v>
      </c>
      <c r="T26" s="1569"/>
      <c r="U26" s="1570"/>
      <c r="V26" s="1645">
        <f>SUM(S14:U25)+S13</f>
        <v>956709</v>
      </c>
      <c r="W26" s="1645"/>
      <c r="X26" s="1645"/>
      <c r="Y26" s="1027"/>
      <c r="Z26" s="171"/>
      <c r="AA26" s="997"/>
      <c r="AB26" s="997"/>
      <c r="AC26" s="997"/>
      <c r="AD26" s="997"/>
      <c r="AE26" s="997"/>
      <c r="AF26" s="997"/>
      <c r="AG26" s="997"/>
      <c r="AH26" s="997"/>
    </row>
    <row r="27" spans="3:34" ht="28.5" customHeight="1">
      <c r="C27" s="838">
        <v>2</v>
      </c>
      <c r="D27" s="1819" t="s">
        <v>585</v>
      </c>
      <c r="E27" s="1820"/>
      <c r="F27" s="1820"/>
      <c r="G27" s="1820"/>
      <c r="H27" s="1820"/>
      <c r="I27" s="1820"/>
      <c r="J27" s="1820"/>
      <c r="K27" s="1820"/>
      <c r="L27" s="1820"/>
      <c r="M27" s="1820"/>
      <c r="N27" s="1820"/>
      <c r="O27" s="1820"/>
      <c r="P27" s="1820"/>
      <c r="Q27" s="1820"/>
      <c r="R27" s="1820"/>
      <c r="S27" s="1820"/>
      <c r="T27" s="1820"/>
      <c r="U27" s="1821"/>
      <c r="V27" s="1825">
        <v>50000</v>
      </c>
      <c r="W27" s="1826"/>
      <c r="X27" s="1827"/>
      <c r="Y27" s="1027">
        <f>IF('Master Deails'!H6="No",0,IF(Q37&gt;=38400,38400,Q37))</f>
        <v>0</v>
      </c>
      <c r="Z27" s="171"/>
      <c r="AA27" s="997"/>
      <c r="AB27" s="997"/>
      <c r="AC27" s="997"/>
      <c r="AD27" s="997"/>
      <c r="AE27" s="997"/>
      <c r="AF27" s="997"/>
      <c r="AG27" s="997"/>
      <c r="AH27" s="997"/>
    </row>
    <row r="28" spans="3:34">
      <c r="C28" s="436">
        <v>3</v>
      </c>
      <c r="D28" s="1042" t="s">
        <v>553</v>
      </c>
      <c r="E28" s="1040"/>
      <c r="F28" s="1040"/>
      <c r="G28" s="1040"/>
      <c r="H28" s="1040"/>
      <c r="I28" s="1040"/>
      <c r="J28" s="1040"/>
      <c r="K28" s="1040"/>
      <c r="L28" s="1040"/>
      <c r="M28" s="1040"/>
      <c r="N28" s="1040"/>
      <c r="O28" s="1040"/>
      <c r="P28" s="1040"/>
      <c r="Q28" s="1040"/>
      <c r="R28" s="1040"/>
      <c r="S28" s="1040"/>
      <c r="T28" s="1040"/>
      <c r="U28" s="1041"/>
      <c r="V28" s="1825">
        <f>V26-V27</f>
        <v>906709</v>
      </c>
      <c r="W28" s="1826"/>
      <c r="X28" s="1827"/>
      <c r="Y28" s="1027"/>
      <c r="Z28" s="171"/>
      <c r="AA28" s="997"/>
      <c r="AB28" s="997"/>
      <c r="AC28" s="997"/>
      <c r="AD28" s="997"/>
      <c r="AE28" s="997"/>
      <c r="AF28" s="997"/>
      <c r="AG28" s="997"/>
      <c r="AH28" s="997"/>
    </row>
    <row r="29" spans="3:34" ht="18" customHeight="1">
      <c r="C29" s="436" t="s">
        <v>555</v>
      </c>
      <c r="D29" s="1037" t="s">
        <v>15</v>
      </c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790"/>
      <c r="Q29" s="1790"/>
      <c r="R29" s="1790"/>
      <c r="S29" s="1808"/>
      <c r="T29" s="1808"/>
      <c r="U29" s="1809"/>
      <c r="V29" s="1828">
        <f>S34+S35+S36+Q37+S38+S40+S41</f>
        <v>48306</v>
      </c>
      <c r="W29" s="1828"/>
      <c r="X29" s="1828"/>
      <c r="Y29" s="1027"/>
      <c r="Z29" s="171"/>
      <c r="AA29" s="997"/>
      <c r="AB29" s="997"/>
      <c r="AC29" s="997"/>
      <c r="AD29" s="997"/>
      <c r="AE29" s="997"/>
      <c r="AF29" s="997"/>
      <c r="AG29" s="997"/>
      <c r="AH29" s="997"/>
    </row>
    <row r="30" spans="3:34" ht="18" customHeight="1">
      <c r="C30" s="188"/>
      <c r="D30" s="1691" t="s">
        <v>167</v>
      </c>
      <c r="E30" s="1790"/>
      <c r="F30" s="1790"/>
      <c r="G30" s="1790"/>
      <c r="H30" s="1790"/>
      <c r="I30" s="1790"/>
      <c r="J30" s="1790"/>
      <c r="K30" s="1790"/>
      <c r="L30" s="1790"/>
      <c r="M30" s="1790"/>
      <c r="N30" s="1790"/>
      <c r="O30" s="1790"/>
      <c r="P30" s="1790"/>
      <c r="Q30" s="1790"/>
      <c r="R30" s="1791"/>
      <c r="S30" s="1804"/>
      <c r="T30" s="1805"/>
      <c r="U30" s="1806"/>
      <c r="V30" s="1798"/>
      <c r="W30" s="1799"/>
      <c r="X30" s="1800"/>
      <c r="Y30" s="1027"/>
      <c r="Z30" s="171"/>
      <c r="AA30" s="997"/>
      <c r="AB30" s="997"/>
      <c r="AC30" s="997"/>
      <c r="AD30" s="997"/>
      <c r="AE30" s="997"/>
      <c r="AF30" s="997"/>
      <c r="AG30" s="997"/>
      <c r="AH30" s="997"/>
    </row>
    <row r="31" spans="3:34" ht="18" customHeight="1">
      <c r="C31" s="188"/>
      <c r="D31" s="1044" t="s">
        <v>123</v>
      </c>
      <c r="E31" s="631" t="s">
        <v>171</v>
      </c>
      <c r="F31" s="632" t="s">
        <v>163</v>
      </c>
      <c r="G31" s="633"/>
      <c r="H31" s="634"/>
      <c r="I31" s="634"/>
      <c r="J31" s="634"/>
      <c r="K31" s="634"/>
      <c r="L31" s="634"/>
      <c r="M31" s="634"/>
      <c r="N31" s="634"/>
      <c r="O31" s="635"/>
      <c r="P31" s="1773">
        <f>'Investment - Deduction'!T103</f>
        <v>0</v>
      </c>
      <c r="Q31" s="1774"/>
      <c r="R31" s="1775"/>
      <c r="S31" s="1816"/>
      <c r="T31" s="1817"/>
      <c r="U31" s="1818"/>
      <c r="V31" s="1801"/>
      <c r="W31" s="1802"/>
      <c r="X31" s="1803"/>
      <c r="Y31" s="1027"/>
      <c r="Z31" s="171"/>
      <c r="AA31" s="997"/>
      <c r="AB31" s="997"/>
      <c r="AC31" s="997"/>
      <c r="AD31" s="997"/>
      <c r="AE31" s="997"/>
      <c r="AF31" s="997"/>
      <c r="AG31" s="997"/>
      <c r="AH31" s="997"/>
    </row>
    <row r="32" spans="3:34" ht="18" customHeight="1">
      <c r="C32" s="188"/>
      <c r="D32" s="1047"/>
      <c r="E32" s="631" t="s">
        <v>169</v>
      </c>
      <c r="F32" s="632" t="s">
        <v>164</v>
      </c>
      <c r="G32" s="634"/>
      <c r="H32" s="634"/>
      <c r="I32" s="634"/>
      <c r="J32" s="634"/>
      <c r="K32" s="634"/>
      <c r="L32" s="634"/>
      <c r="M32" s="634"/>
      <c r="N32" s="634"/>
      <c r="O32" s="635"/>
      <c r="P32" s="1807">
        <f>'Investment - Deduction'!T104</f>
        <v>0</v>
      </c>
      <c r="Q32" s="1808"/>
      <c r="R32" s="1809"/>
      <c r="S32" s="1816"/>
      <c r="T32" s="1817"/>
      <c r="U32" s="1818"/>
      <c r="V32" s="1776"/>
      <c r="W32" s="1777"/>
      <c r="X32" s="1778"/>
      <c r="Y32" s="1027"/>
      <c r="Z32" s="171"/>
      <c r="AA32" s="997"/>
      <c r="AB32" s="997"/>
      <c r="AC32" s="997"/>
      <c r="AD32" s="997"/>
      <c r="AE32" s="997"/>
      <c r="AF32" s="997"/>
      <c r="AG32" s="997"/>
      <c r="AH32" s="997"/>
    </row>
    <row r="33" spans="3:34" ht="18" customHeight="1">
      <c r="C33" s="188"/>
      <c r="D33" s="1048"/>
      <c r="E33" s="631" t="s">
        <v>170</v>
      </c>
      <c r="F33" s="632" t="s">
        <v>99</v>
      </c>
      <c r="G33" s="634"/>
      <c r="H33" s="634"/>
      <c r="I33" s="634"/>
      <c r="J33" s="634"/>
      <c r="K33" s="634"/>
      <c r="L33" s="634"/>
      <c r="M33" s="634"/>
      <c r="N33" s="634"/>
      <c r="O33" s="635"/>
      <c r="P33" s="1807">
        <f>'Investment - Deduction'!T108</f>
        <v>0</v>
      </c>
      <c r="Q33" s="1808"/>
      <c r="R33" s="1809"/>
      <c r="S33" s="1810"/>
      <c r="T33" s="1811"/>
      <c r="U33" s="1812"/>
      <c r="V33" s="1776"/>
      <c r="W33" s="1777"/>
      <c r="X33" s="1778"/>
      <c r="Y33" s="1027"/>
      <c r="Z33" s="171"/>
      <c r="AA33" s="997"/>
      <c r="AB33" s="997"/>
      <c r="AC33" s="997"/>
      <c r="AD33" s="997"/>
      <c r="AE33" s="997"/>
      <c r="AF33" s="997"/>
      <c r="AG33" s="997"/>
      <c r="AH33" s="997"/>
    </row>
    <row r="34" spans="3:34" ht="18" customHeight="1">
      <c r="C34" s="188"/>
      <c r="D34" s="913"/>
      <c r="E34" s="631" t="s">
        <v>477</v>
      </c>
      <c r="F34" s="913" t="s">
        <v>165</v>
      </c>
      <c r="G34" s="636"/>
      <c r="H34" s="636"/>
      <c r="I34" s="636"/>
      <c r="J34" s="636"/>
      <c r="K34" s="636"/>
      <c r="L34" s="636"/>
      <c r="M34" s="636"/>
      <c r="N34" s="636"/>
      <c r="O34" s="637"/>
      <c r="P34" s="1807">
        <f>'Investment - Deduction'!T109</f>
        <v>0</v>
      </c>
      <c r="Q34" s="1808"/>
      <c r="R34" s="1809"/>
      <c r="S34" s="1773">
        <f>P34</f>
        <v>0</v>
      </c>
      <c r="T34" s="1774"/>
      <c r="U34" s="1775"/>
      <c r="V34" s="1776"/>
      <c r="W34" s="1777"/>
      <c r="X34" s="1778"/>
      <c r="Y34" s="1027"/>
      <c r="Z34" s="171"/>
      <c r="AA34" s="997"/>
      <c r="AB34" s="997"/>
      <c r="AC34" s="997"/>
      <c r="AD34" s="997"/>
      <c r="AE34" s="997"/>
      <c r="AF34" s="997"/>
      <c r="AG34" s="997"/>
      <c r="AH34" s="997"/>
    </row>
    <row r="35" spans="3:34" ht="18" customHeight="1">
      <c r="C35" s="188"/>
      <c r="D35" s="1049" t="s">
        <v>124</v>
      </c>
      <c r="E35" s="910" t="s">
        <v>560</v>
      </c>
      <c r="F35" s="1038"/>
      <c r="G35" s="1038"/>
      <c r="H35" s="1038"/>
      <c r="I35" s="1038"/>
      <c r="J35" s="1038"/>
      <c r="K35" s="1038"/>
      <c r="L35" s="1038"/>
      <c r="M35" s="1038"/>
      <c r="N35" s="1038"/>
      <c r="O35" s="1038"/>
      <c r="P35" s="1038"/>
      <c r="Q35" s="1038"/>
      <c r="R35" s="1050"/>
      <c r="S35" s="1773">
        <f>'Earning- Salary'!N18</f>
        <v>0</v>
      </c>
      <c r="T35" s="1774"/>
      <c r="U35" s="1775"/>
      <c r="V35" s="1776"/>
      <c r="W35" s="1777"/>
      <c r="X35" s="1778"/>
      <c r="Y35" s="1027"/>
      <c r="Z35" s="171"/>
      <c r="AA35" s="997"/>
      <c r="AB35" s="997"/>
      <c r="AC35" s="997"/>
      <c r="AD35" s="997"/>
      <c r="AE35" s="997"/>
      <c r="AF35" s="997"/>
      <c r="AG35" s="997"/>
      <c r="AH35" s="997"/>
    </row>
    <row r="36" spans="3:34" ht="18" customHeight="1">
      <c r="C36" s="188"/>
      <c r="D36" s="1049" t="s">
        <v>162</v>
      </c>
      <c r="E36" s="1051" t="s">
        <v>588</v>
      </c>
      <c r="F36" s="1038"/>
      <c r="G36" s="1038"/>
      <c r="H36" s="1038"/>
      <c r="I36" s="1038"/>
      <c r="J36" s="1038"/>
      <c r="K36" s="1038"/>
      <c r="L36" s="1038"/>
      <c r="M36" s="1038"/>
      <c r="N36" s="1038"/>
      <c r="O36" s="1038"/>
      <c r="P36" s="1038"/>
      <c r="Q36" s="1722">
        <f>'Earning- Salary'!N15</f>
        <v>0</v>
      </c>
      <c r="R36" s="1815"/>
      <c r="S36" s="1773">
        <v>0</v>
      </c>
      <c r="T36" s="1774"/>
      <c r="U36" s="1775"/>
      <c r="V36" s="969"/>
      <c r="W36" s="970"/>
      <c r="X36" s="971"/>
      <c r="Y36" s="1027"/>
      <c r="Z36" s="171"/>
      <c r="AA36" s="997"/>
      <c r="AB36" s="997"/>
      <c r="AC36" s="997"/>
      <c r="AD36" s="997"/>
      <c r="AE36" s="997"/>
      <c r="AF36" s="997"/>
      <c r="AG36" s="997"/>
      <c r="AH36" s="997"/>
    </row>
    <row r="37" spans="3:34" ht="18" customHeight="1">
      <c r="C37" s="188"/>
      <c r="D37" s="1049" t="s">
        <v>168</v>
      </c>
      <c r="E37" s="910" t="s">
        <v>539</v>
      </c>
      <c r="F37" s="1038"/>
      <c r="G37" s="1038"/>
      <c r="H37" s="1038"/>
      <c r="I37" s="1038"/>
      <c r="J37" s="1038"/>
      <c r="K37" s="1038"/>
      <c r="L37" s="1038"/>
      <c r="M37" s="1038"/>
      <c r="N37" s="1038"/>
      <c r="O37" s="1038"/>
      <c r="P37" s="1038"/>
      <c r="Q37" s="1813">
        <f>'Earning- Salary'!N16</f>
        <v>120</v>
      </c>
      <c r="R37" s="1814"/>
      <c r="S37" s="1773">
        <f>Y37</f>
        <v>0</v>
      </c>
      <c r="T37" s="1774"/>
      <c r="U37" s="1775"/>
      <c r="V37" s="1776">
        <f>1600*12</f>
        <v>19200</v>
      </c>
      <c r="W37" s="1777"/>
      <c r="X37" s="1778"/>
      <c r="Y37" s="1027">
        <f>IF('Master Deails'!H6="no",0,IF(Q37&gt;=38400,38400,Q37))</f>
        <v>0</v>
      </c>
      <c r="Z37" s="171"/>
      <c r="AA37" s="997"/>
      <c r="AB37" s="997"/>
      <c r="AC37" s="997"/>
      <c r="AD37" s="997"/>
      <c r="AE37" s="997"/>
      <c r="AF37" s="997"/>
      <c r="AG37" s="997"/>
      <c r="AH37" s="997"/>
    </row>
    <row r="38" spans="3:34" ht="18" customHeight="1">
      <c r="C38" s="188"/>
      <c r="D38" s="1049" t="s">
        <v>549</v>
      </c>
      <c r="E38" s="1575" t="s">
        <v>125</v>
      </c>
      <c r="F38" s="1575"/>
      <c r="G38" s="1575"/>
      <c r="H38" s="1575"/>
      <c r="I38" s="1575"/>
      <c r="J38" s="1575"/>
      <c r="K38" s="1575"/>
      <c r="L38" s="1575"/>
      <c r="M38" s="1575"/>
      <c r="N38" s="1575"/>
      <c r="O38" s="1575"/>
      <c r="P38" s="1575"/>
      <c r="Q38" s="1575"/>
      <c r="R38" s="1575"/>
      <c r="S38" s="1559">
        <f>'Earning- Salary'!N41</f>
        <v>2400</v>
      </c>
      <c r="T38" s="1559"/>
      <c r="U38" s="1559"/>
      <c r="V38" s="1776">
        <f>3200*12</f>
        <v>38400</v>
      </c>
      <c r="W38" s="1777"/>
      <c r="X38" s="1778"/>
      <c r="Y38" s="1027"/>
      <c r="Z38" s="171"/>
      <c r="AA38" s="997"/>
      <c r="AB38" s="997"/>
      <c r="AC38" s="997"/>
      <c r="AD38" s="997"/>
      <c r="AE38" s="997"/>
      <c r="AF38" s="997"/>
      <c r="AG38" s="997"/>
      <c r="AH38" s="997"/>
    </row>
    <row r="39" spans="3:34" ht="18" customHeight="1">
      <c r="C39" s="188"/>
      <c r="D39" s="1175" t="s">
        <v>646</v>
      </c>
      <c r="E39" s="1169" t="str">
        <f>'Other than Salary Income'!D39</f>
        <v>Leave Encashment For LTC</v>
      </c>
      <c r="F39" s="1168"/>
      <c r="G39" s="1168"/>
      <c r="H39" s="1168"/>
      <c r="I39" s="1168"/>
      <c r="J39" s="1168"/>
      <c r="K39" s="1168"/>
      <c r="L39" s="1168"/>
      <c r="M39" s="1168"/>
      <c r="N39" s="1168"/>
      <c r="O39" s="1168"/>
      <c r="P39" s="1168"/>
      <c r="Q39" s="1168"/>
      <c r="R39" s="1173"/>
      <c r="S39" s="1559">
        <f>'Other than Salary Income'!U39</f>
        <v>35000</v>
      </c>
      <c r="T39" s="1559"/>
      <c r="U39" s="1559"/>
      <c r="V39" s="1170"/>
      <c r="W39" s="1171"/>
      <c r="X39" s="1172"/>
      <c r="Y39" s="1027"/>
      <c r="Z39" s="1174"/>
      <c r="AA39" s="997"/>
      <c r="AB39" s="997"/>
      <c r="AC39" s="997"/>
      <c r="AD39" s="997"/>
      <c r="AE39" s="997"/>
      <c r="AF39" s="997"/>
      <c r="AG39" s="997"/>
      <c r="AH39" s="997"/>
    </row>
    <row r="40" spans="3:34" ht="18" customHeight="1">
      <c r="C40" s="188"/>
      <c r="D40" s="1175" t="s">
        <v>647</v>
      </c>
      <c r="E40" s="1037" t="s">
        <v>587</v>
      </c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043"/>
      <c r="S40" s="1559">
        <f>'Other than Salary Income'!U41 + 'Other than Salary Income'!U42</f>
        <v>45786</v>
      </c>
      <c r="T40" s="1559"/>
      <c r="U40" s="1559"/>
      <c r="V40" s="1776"/>
      <c r="W40" s="1777"/>
      <c r="X40" s="1778"/>
      <c r="Y40" s="1027"/>
      <c r="Z40" s="171"/>
      <c r="AA40" s="997"/>
      <c r="AB40" s="997"/>
      <c r="AC40" s="997"/>
      <c r="AD40" s="997"/>
      <c r="AE40" s="997"/>
      <c r="AF40" s="997"/>
      <c r="AG40" s="997"/>
      <c r="AH40" s="997"/>
    </row>
    <row r="41" spans="3:34" ht="18" customHeight="1">
      <c r="C41" s="189"/>
      <c r="D41" s="1049" t="s">
        <v>550</v>
      </c>
      <c r="E41" s="1691" t="s">
        <v>538</v>
      </c>
      <c r="F41" s="1790"/>
      <c r="G41" s="1790"/>
      <c r="H41" s="1790"/>
      <c r="I41" s="1790"/>
      <c r="J41" s="1790"/>
      <c r="K41" s="1790"/>
      <c r="L41" s="1790"/>
      <c r="M41" s="1790"/>
      <c r="N41" s="1790"/>
      <c r="O41" s="1790"/>
      <c r="P41" s="1790"/>
      <c r="Q41" s="1790"/>
      <c r="R41" s="1791"/>
      <c r="S41" s="1559">
        <f>'Earning- Salary'!N19</f>
        <v>0</v>
      </c>
      <c r="T41" s="1559"/>
      <c r="U41" s="1559"/>
      <c r="V41" s="1782"/>
      <c r="W41" s="1783"/>
      <c r="X41" s="1784"/>
      <c r="Y41" s="1027"/>
      <c r="Z41" s="171"/>
      <c r="AA41" s="997"/>
      <c r="AB41" s="997"/>
      <c r="AC41" s="997"/>
      <c r="AD41" s="997"/>
      <c r="AE41" s="997"/>
      <c r="AF41" s="997"/>
      <c r="AG41" s="997"/>
      <c r="AH41" s="997"/>
    </row>
    <row r="42" spans="3:34" ht="18" customHeight="1">
      <c r="C42" s="188"/>
      <c r="D42" s="1052"/>
      <c r="E42" s="1038" t="s">
        <v>15</v>
      </c>
      <c r="F42" s="1038"/>
      <c r="G42" s="1038"/>
      <c r="H42" s="1038"/>
      <c r="I42" s="1038"/>
      <c r="J42" s="1038"/>
      <c r="K42" s="1038"/>
      <c r="L42" s="1038"/>
      <c r="M42" s="1038"/>
      <c r="N42" s="1038"/>
      <c r="O42" s="1038"/>
      <c r="P42" s="1038"/>
      <c r="Q42" s="1038"/>
      <c r="R42" s="1038"/>
      <c r="S42" s="1045"/>
      <c r="T42" s="1045"/>
      <c r="U42" s="1046"/>
      <c r="V42" s="1760">
        <f>S34+S35+S38+S40+S41+S37+S39</f>
        <v>83186</v>
      </c>
      <c r="W42" s="1761"/>
      <c r="X42" s="1762"/>
      <c r="Y42" s="1027"/>
      <c r="Z42" s="171"/>
      <c r="AA42" s="997"/>
      <c r="AB42" s="997"/>
      <c r="AC42" s="997"/>
      <c r="AD42" s="997"/>
      <c r="AE42" s="997"/>
      <c r="AF42" s="997"/>
      <c r="AG42" s="997"/>
      <c r="AH42" s="997"/>
    </row>
    <row r="43" spans="3:34" ht="18" hidden="1" customHeight="1">
      <c r="C43" s="838"/>
      <c r="D43" s="1053"/>
      <c r="E43" s="1054"/>
      <c r="F43" s="1055"/>
      <c r="G43" s="1055"/>
      <c r="H43" s="1055"/>
      <c r="I43" s="1055"/>
      <c r="J43" s="1055"/>
      <c r="K43" s="1055"/>
      <c r="L43" s="1055"/>
      <c r="M43" s="979"/>
      <c r="N43" s="979"/>
      <c r="O43" s="979"/>
      <c r="P43" s="979"/>
      <c r="Q43" s="980"/>
      <c r="R43" s="980"/>
      <c r="S43" s="981"/>
      <c r="T43" s="981"/>
      <c r="U43" s="982"/>
      <c r="V43" s="1779"/>
      <c r="W43" s="1780"/>
      <c r="X43" s="1781"/>
      <c r="Y43" s="1027"/>
      <c r="Z43" s="171"/>
      <c r="AA43" s="997"/>
      <c r="AB43" s="997"/>
      <c r="AC43" s="997"/>
      <c r="AD43" s="997"/>
      <c r="AE43" s="997"/>
      <c r="AF43" s="997"/>
      <c r="AG43" s="997"/>
      <c r="AH43" s="997"/>
    </row>
    <row r="44" spans="3:34" ht="18" customHeight="1">
      <c r="C44" s="839">
        <v>4</v>
      </c>
      <c r="D44" s="840" t="s">
        <v>554</v>
      </c>
      <c r="E44" s="841"/>
      <c r="F44" s="841"/>
      <c r="G44" s="841"/>
      <c r="H44" s="841"/>
      <c r="I44" s="841"/>
      <c r="J44" s="841"/>
      <c r="K44" s="841"/>
      <c r="L44" s="841"/>
      <c r="M44" s="841"/>
      <c r="N44" s="841"/>
      <c r="O44" s="841"/>
      <c r="P44" s="841"/>
      <c r="Q44" s="841"/>
      <c r="R44" s="841"/>
      <c r="S44" s="841"/>
      <c r="T44" s="841"/>
      <c r="U44" s="842"/>
      <c r="V44" s="1787">
        <f>V28-(V42+V43)</f>
        <v>823523</v>
      </c>
      <c r="W44" s="1788"/>
      <c r="X44" s="1789"/>
      <c r="Y44" s="1027"/>
      <c r="Z44" s="171"/>
      <c r="AA44" s="997"/>
      <c r="AB44" s="997"/>
      <c r="AC44" s="997"/>
      <c r="AD44" s="997"/>
      <c r="AE44" s="997"/>
      <c r="AF44" s="997"/>
      <c r="AG44" s="997"/>
      <c r="AH44" s="997"/>
    </row>
    <row r="45" spans="3:34" ht="18" customHeight="1">
      <c r="C45" s="187">
        <v>5</v>
      </c>
      <c r="D45" s="1720" t="s">
        <v>126</v>
      </c>
      <c r="E45" s="1592"/>
      <c r="F45" s="1592"/>
      <c r="G45" s="1592"/>
      <c r="H45" s="1592"/>
      <c r="I45" s="1592"/>
      <c r="J45" s="1592"/>
      <c r="K45" s="1592"/>
      <c r="L45" s="1592"/>
      <c r="M45" s="1592"/>
      <c r="N45" s="1592"/>
      <c r="O45" s="1592"/>
      <c r="P45" s="1592"/>
      <c r="Q45" s="1592"/>
      <c r="R45" s="1592"/>
      <c r="S45" s="1592"/>
      <c r="T45" s="1592"/>
      <c r="U45" s="1592"/>
      <c r="V45" s="1785"/>
      <c r="W45" s="1785"/>
      <c r="X45" s="1786"/>
      <c r="Y45" s="1027"/>
      <c r="Z45" s="171"/>
      <c r="AA45" s="997"/>
      <c r="AB45" s="997"/>
      <c r="AC45" s="997"/>
      <c r="AD45" s="997"/>
      <c r="AE45" s="997"/>
      <c r="AF45" s="997"/>
      <c r="AG45" s="997"/>
      <c r="AH45" s="997"/>
    </row>
    <row r="46" spans="3:34" ht="18" customHeight="1">
      <c r="C46" s="188"/>
      <c r="D46" s="179" t="s">
        <v>101</v>
      </c>
      <c r="E46" s="1591" t="s">
        <v>127</v>
      </c>
      <c r="F46" s="1592"/>
      <c r="G46" s="1592"/>
      <c r="H46" s="1592"/>
      <c r="I46" s="1592"/>
      <c r="J46" s="1592"/>
      <c r="K46" s="1592"/>
      <c r="L46" s="1592"/>
      <c r="M46" s="1592"/>
      <c r="N46" s="1592"/>
      <c r="O46" s="1592"/>
      <c r="P46" s="1592"/>
      <c r="Q46" s="1592"/>
      <c r="R46" s="1593"/>
      <c r="S46" s="1792">
        <f>'Investment - Deduction'!U119</f>
        <v>13000</v>
      </c>
      <c r="T46" s="1793"/>
      <c r="U46" s="1794"/>
      <c r="V46" s="1767">
        <f>S46</f>
        <v>13000</v>
      </c>
      <c r="W46" s="1768"/>
      <c r="X46" s="1769"/>
      <c r="Y46" s="1027"/>
      <c r="Z46" s="171"/>
      <c r="AA46" s="997"/>
      <c r="AB46" s="997"/>
      <c r="AC46" s="997"/>
      <c r="AD46" s="997"/>
      <c r="AE46" s="997"/>
      <c r="AF46" s="997"/>
      <c r="AG46" s="997"/>
      <c r="AH46" s="997"/>
    </row>
    <row r="47" spans="3:34" ht="18" customHeight="1">
      <c r="C47" s="189"/>
      <c r="D47" s="179" t="s">
        <v>68</v>
      </c>
      <c r="E47" s="1720" t="s">
        <v>446</v>
      </c>
      <c r="F47" s="1592"/>
      <c r="G47" s="1592"/>
      <c r="H47" s="1592"/>
      <c r="I47" s="1592"/>
      <c r="J47" s="1592"/>
      <c r="K47" s="1592"/>
      <c r="L47" s="1592"/>
      <c r="M47" s="1592"/>
      <c r="N47" s="1592"/>
      <c r="O47" s="1592"/>
      <c r="P47" s="1592"/>
      <c r="Q47" s="1592"/>
      <c r="R47" s="1593"/>
      <c r="S47" s="1795"/>
      <c r="T47" s="1796"/>
      <c r="U47" s="1797"/>
      <c r="V47" s="1770"/>
      <c r="W47" s="1771"/>
      <c r="X47" s="1772"/>
      <c r="Y47" s="1027"/>
      <c r="Z47" s="171"/>
      <c r="AA47" s="997"/>
      <c r="AB47" s="997"/>
      <c r="AC47" s="997"/>
      <c r="AD47" s="997"/>
      <c r="AE47" s="997"/>
      <c r="AF47" s="997"/>
      <c r="AG47" s="997"/>
      <c r="AH47" s="997"/>
    </row>
    <row r="48" spans="3:34" ht="18" customHeight="1">
      <c r="C48" s="190">
        <v>6</v>
      </c>
      <c r="D48" s="1720" t="s">
        <v>511</v>
      </c>
      <c r="E48" s="1592"/>
      <c r="F48" s="1592"/>
      <c r="G48" s="1592"/>
      <c r="H48" s="1592"/>
      <c r="I48" s="1592"/>
      <c r="J48" s="1592"/>
      <c r="K48" s="1592"/>
      <c r="L48" s="1592"/>
      <c r="M48" s="1592"/>
      <c r="N48" s="1592"/>
      <c r="O48" s="1592"/>
      <c r="P48" s="1592"/>
      <c r="Q48" s="1592"/>
      <c r="R48" s="1592"/>
      <c r="S48" s="1592"/>
      <c r="T48" s="1592"/>
      <c r="U48" s="1593"/>
      <c r="V48" s="1760">
        <f>V44-V46</f>
        <v>810523</v>
      </c>
      <c r="W48" s="1761"/>
      <c r="X48" s="1762"/>
      <c r="Y48" s="1027"/>
      <c r="Z48" s="171"/>
      <c r="AA48" s="997"/>
      <c r="AB48" s="997"/>
      <c r="AC48" s="997"/>
      <c r="AD48" s="997"/>
      <c r="AE48" s="997"/>
      <c r="AF48" s="997"/>
      <c r="AG48" s="997"/>
      <c r="AH48" s="997"/>
    </row>
    <row r="49" spans="1:34" ht="18" customHeight="1">
      <c r="C49" s="190">
        <v>7</v>
      </c>
      <c r="D49" s="1720" t="s">
        <v>16</v>
      </c>
      <c r="E49" s="1592"/>
      <c r="F49" s="1592"/>
      <c r="G49" s="1592"/>
      <c r="H49" s="1592"/>
      <c r="I49" s="1592"/>
      <c r="J49" s="1592"/>
      <c r="K49" s="1592"/>
      <c r="L49" s="1592"/>
      <c r="M49" s="1592"/>
      <c r="N49" s="1592"/>
      <c r="O49" s="1592"/>
      <c r="P49" s="1766" t="s">
        <v>128</v>
      </c>
      <c r="Q49" s="1766"/>
      <c r="R49" s="1766"/>
      <c r="S49" s="1766" t="s">
        <v>129</v>
      </c>
      <c r="T49" s="1766"/>
      <c r="U49" s="1766"/>
      <c r="V49" s="537"/>
      <c r="W49" s="538"/>
      <c r="X49" s="539"/>
      <c r="Y49" s="1027"/>
      <c r="Z49" s="171"/>
      <c r="AA49" s="997"/>
      <c r="AB49" s="997"/>
      <c r="AC49" s="997"/>
      <c r="AD49" s="997"/>
      <c r="AE49" s="997"/>
      <c r="AF49" s="997"/>
      <c r="AG49" s="997"/>
      <c r="AH49" s="997"/>
    </row>
    <row r="50" spans="1:34" ht="18" customHeight="1">
      <c r="A50" s="174"/>
      <c r="C50" s="188"/>
      <c r="D50" s="929" t="s">
        <v>104</v>
      </c>
      <c r="E50" s="191" t="s">
        <v>200</v>
      </c>
      <c r="F50" s="177"/>
      <c r="G50" s="177"/>
      <c r="H50" s="177"/>
      <c r="I50" s="177"/>
      <c r="J50" s="177"/>
      <c r="K50" s="177"/>
      <c r="M50" s="192"/>
      <c r="N50" s="177"/>
      <c r="O50" s="178"/>
      <c r="P50" s="1613">
        <f>'Investment - Deduction'!U56+'Investment - Deduction'!U57+'Investment - Deduction'!U58+'Investment - Deduction'!U59</f>
        <v>0</v>
      </c>
      <c r="Q50" s="1613"/>
      <c r="R50" s="1613"/>
      <c r="S50" s="1619">
        <f>'Investment - Deduction'!M56+'Investment - Deduction'!M57+'Investment - Deduction'!M58+'Investment - Deduction'!M59</f>
        <v>0</v>
      </c>
      <c r="T50" s="1619"/>
      <c r="U50" s="1619"/>
      <c r="V50" s="416"/>
      <c r="W50" s="417"/>
      <c r="X50" s="418"/>
      <c r="Y50" s="1027"/>
      <c r="Z50" s="171"/>
      <c r="AA50" s="997"/>
      <c r="AB50" s="997"/>
      <c r="AC50" s="997"/>
      <c r="AD50" s="997"/>
      <c r="AE50" s="997"/>
      <c r="AF50" s="997"/>
      <c r="AG50" s="997"/>
      <c r="AH50" s="997"/>
    </row>
    <row r="51" spans="1:34" ht="18" customHeight="1">
      <c r="C51" s="188"/>
      <c r="D51" s="929" t="s">
        <v>76</v>
      </c>
      <c r="E51" s="1757" t="s">
        <v>463</v>
      </c>
      <c r="F51" s="1758"/>
      <c r="G51" s="1758"/>
      <c r="H51" s="1758"/>
      <c r="I51" s="1758"/>
      <c r="J51" s="1758"/>
      <c r="K51" s="1758"/>
      <c r="L51" s="1758"/>
      <c r="M51" s="1758"/>
      <c r="N51" s="1758"/>
      <c r="O51" s="1759"/>
      <c r="P51" s="1613">
        <f>'Investment - Deduction'!U47</f>
        <v>0</v>
      </c>
      <c r="Q51" s="1613"/>
      <c r="R51" s="1613"/>
      <c r="S51" s="1645">
        <f>IF('Master Deails'!B5=5,IF(25000&gt;=P51,P51,25000),IF(50000&gt;=P51,P51,50000))</f>
        <v>0</v>
      </c>
      <c r="T51" s="1613"/>
      <c r="U51" s="1613"/>
      <c r="V51" s="416"/>
      <c r="W51" s="417"/>
      <c r="X51" s="418"/>
      <c r="Y51" s="1027"/>
      <c r="Z51" s="171"/>
      <c r="AA51" s="997"/>
      <c r="AB51" s="997"/>
      <c r="AC51" s="997"/>
      <c r="AD51" s="997"/>
      <c r="AE51" s="997"/>
      <c r="AF51" s="997"/>
      <c r="AG51" s="997"/>
      <c r="AH51" s="997"/>
    </row>
    <row r="52" spans="1:34" ht="18" customHeight="1">
      <c r="C52" s="188"/>
      <c r="D52" s="929" t="s">
        <v>76</v>
      </c>
      <c r="E52" s="1757" t="s">
        <v>464</v>
      </c>
      <c r="F52" s="1758"/>
      <c r="G52" s="1758"/>
      <c r="H52" s="1758"/>
      <c r="I52" s="1758"/>
      <c r="J52" s="1758"/>
      <c r="K52" s="1758"/>
      <c r="L52" s="1758"/>
      <c r="M52" s="1758"/>
      <c r="N52" s="1758"/>
      <c r="O52" s="1759"/>
      <c r="P52" s="1613">
        <f>'Investment - Deduction'!U49</f>
        <v>0</v>
      </c>
      <c r="Q52" s="1613"/>
      <c r="R52" s="1613"/>
      <c r="S52" s="1645">
        <f>IF('Master Deails'!B5=5,(IF('Investment - Deduction'!S49&lt;&gt;6,IF(25000&gt;=P52,P52,25000),IF(50000&gt;=P52,P52,50000))),IF(50000&gt;=P52,P52,50000))</f>
        <v>0</v>
      </c>
      <c r="T52" s="1613"/>
      <c r="U52" s="1613"/>
      <c r="V52" s="416"/>
      <c r="W52" s="417"/>
      <c r="X52" s="418"/>
      <c r="Y52" s="1027"/>
      <c r="Z52" s="171"/>
      <c r="AA52" s="997"/>
      <c r="AB52" s="997"/>
      <c r="AC52" s="997"/>
      <c r="AD52" s="997"/>
      <c r="AE52" s="997"/>
      <c r="AF52" s="997"/>
      <c r="AG52" s="997"/>
      <c r="AH52" s="997"/>
    </row>
    <row r="53" spans="1:34">
      <c r="C53" s="188"/>
      <c r="D53" s="930" t="s">
        <v>105</v>
      </c>
      <c r="E53" s="1757" t="s">
        <v>452</v>
      </c>
      <c r="F53" s="1758"/>
      <c r="G53" s="1758"/>
      <c r="H53" s="1758"/>
      <c r="I53" s="1758"/>
      <c r="J53" s="1758"/>
      <c r="K53" s="1758"/>
      <c r="L53" s="1758"/>
      <c r="M53" s="1758"/>
      <c r="N53" s="1758"/>
      <c r="O53" s="1759"/>
      <c r="P53" s="1613">
        <f>'Investment - Deduction'!U51</f>
        <v>0</v>
      </c>
      <c r="Q53" s="1613"/>
      <c r="R53" s="1613"/>
      <c r="S53" s="1613">
        <f>IF(75000&gt;=P53,P53,75000)</f>
        <v>0</v>
      </c>
      <c r="T53" s="1613"/>
      <c r="U53" s="1613"/>
      <c r="V53" s="416"/>
      <c r="W53" s="417"/>
      <c r="X53" s="418"/>
      <c r="Y53" s="1027"/>
      <c r="Z53" s="171"/>
      <c r="AA53" s="997"/>
      <c r="AB53" s="997"/>
      <c r="AC53" s="997"/>
      <c r="AD53" s="997"/>
      <c r="AE53" s="997"/>
      <c r="AF53" s="997"/>
      <c r="AG53" s="997"/>
      <c r="AH53" s="997"/>
    </row>
    <row r="54" spans="1:34" ht="33" customHeight="1">
      <c r="C54" s="188"/>
      <c r="D54" s="930" t="s">
        <v>77</v>
      </c>
      <c r="E54" s="1763" t="s">
        <v>450</v>
      </c>
      <c r="F54" s="1764"/>
      <c r="G54" s="1764"/>
      <c r="H54" s="1764"/>
      <c r="I54" s="1764"/>
      <c r="J54" s="1764"/>
      <c r="K54" s="1764"/>
      <c r="L54" s="1764"/>
      <c r="M54" s="1764"/>
      <c r="N54" s="1764"/>
      <c r="O54" s="1765"/>
      <c r="P54" s="1613">
        <f>'Investment - Deduction'!U52</f>
        <v>0</v>
      </c>
      <c r="Q54" s="1613"/>
      <c r="R54" s="1613"/>
      <c r="S54" s="1613">
        <f>IF('Master Deails'!B5=5,IF(40000&gt;=P54,P54,40000),IF(60000&gt;=P54,P54,60000))</f>
        <v>0</v>
      </c>
      <c r="T54" s="1613"/>
      <c r="U54" s="1613"/>
      <c r="V54" s="416"/>
      <c r="W54" s="417"/>
      <c r="X54" s="418"/>
      <c r="Y54" s="1027"/>
      <c r="Z54" s="171"/>
      <c r="AA54" s="997"/>
      <c r="AB54" s="997"/>
      <c r="AC54" s="997"/>
      <c r="AD54" s="997"/>
      <c r="AE54" s="997"/>
      <c r="AF54" s="997"/>
      <c r="AG54" s="997"/>
      <c r="AH54" s="997"/>
    </row>
    <row r="55" spans="1:34" ht="15" customHeight="1">
      <c r="C55" s="188"/>
      <c r="D55" s="930" t="s">
        <v>130</v>
      </c>
      <c r="E55" s="1739" t="s">
        <v>306</v>
      </c>
      <c r="F55" s="1740"/>
      <c r="G55" s="1740"/>
      <c r="H55" s="1740"/>
      <c r="I55" s="1740"/>
      <c r="J55" s="1740"/>
      <c r="K55" s="1740"/>
      <c r="L55" s="1647" t="s">
        <v>305</v>
      </c>
      <c r="M55" s="1647"/>
      <c r="N55" s="407">
        <f>'Investment - Deduction'!M54</f>
        <v>85</v>
      </c>
      <c r="O55" s="370" t="s">
        <v>307</v>
      </c>
      <c r="P55" s="1613">
        <f>'Investment - Deduction'!U53</f>
        <v>0</v>
      </c>
      <c r="Q55" s="1613"/>
      <c r="R55" s="1613"/>
      <c r="S55" s="1613">
        <f>IF('Investment - Deduction'!U53=0,0,'Investment - Deduction'!U54)</f>
        <v>0</v>
      </c>
      <c r="T55" s="1613"/>
      <c r="U55" s="1613"/>
      <c r="V55" s="416"/>
      <c r="W55" s="417"/>
      <c r="X55" s="418"/>
      <c r="Y55" s="1027"/>
      <c r="Z55" s="171"/>
      <c r="AA55" s="997"/>
      <c r="AB55" s="997"/>
      <c r="AC55" s="998" t="e">
        <f>IF((S14*0.1)&gt;='Other than Salary Income'!U96,'Other than Salary Income'!U96,(S14*0.1))</f>
        <v>#VALUE!</v>
      </c>
      <c r="AD55" s="999" t="s">
        <v>195</v>
      </c>
      <c r="AE55" s="997"/>
      <c r="AF55" s="997">
        <v>81</v>
      </c>
      <c r="AG55" s="997"/>
      <c r="AH55" s="997"/>
    </row>
    <row r="56" spans="1:34" ht="18.75" customHeight="1">
      <c r="C56" s="188"/>
      <c r="D56" s="798" t="s">
        <v>131</v>
      </c>
      <c r="E56" s="1742" t="str">
        <f>CONCATENATE('Other than Salary Income'!D95,'Other than Salary Income'!F95,'Other than Salary Income'!G95,'Other than Salary Income'!O95)</f>
        <v>U/s 80E Education Loan Interest No Limit</v>
      </c>
      <c r="F56" s="1743"/>
      <c r="G56" s="1743"/>
      <c r="H56" s="1743"/>
      <c r="I56" s="1743"/>
      <c r="J56" s="1743"/>
      <c r="K56" s="1743"/>
      <c r="L56" s="1743"/>
      <c r="M56" s="1743"/>
      <c r="N56" s="1743"/>
      <c r="O56" s="1744"/>
      <c r="P56" s="1760">
        <f>'Investment - Deduction'!U55</f>
        <v>0</v>
      </c>
      <c r="Q56" s="1761"/>
      <c r="R56" s="1762"/>
      <c r="S56" s="1741">
        <f>P56</f>
        <v>0</v>
      </c>
      <c r="T56" s="1741"/>
      <c r="U56" s="1741"/>
      <c r="V56" s="416"/>
      <c r="W56" s="417"/>
      <c r="X56" s="418"/>
      <c r="Y56" s="1027"/>
      <c r="Z56" s="171"/>
      <c r="AA56" s="997"/>
      <c r="AB56" s="997"/>
      <c r="AC56" s="998" t="e">
        <f>IF((S14*0.1)&gt;='Other than Salary Income'!M97,'Other than Salary Income'!M97,(S14*0.1))</f>
        <v>#VALUE!</v>
      </c>
      <c r="AD56" s="999" t="s">
        <v>196</v>
      </c>
      <c r="AE56" s="997"/>
      <c r="AF56" s="997">
        <v>82</v>
      </c>
      <c r="AG56" s="997"/>
      <c r="AH56" s="997"/>
    </row>
    <row r="57" spans="1:34" ht="18" customHeight="1">
      <c r="C57" s="188"/>
      <c r="D57" s="799" t="s">
        <v>132</v>
      </c>
      <c r="E57" s="1742" t="str">
        <f>'Other than Salary Income'!D101</f>
        <v>Section 80QQB</v>
      </c>
      <c r="F57" s="1743"/>
      <c r="G57" s="1743"/>
      <c r="H57" s="1743"/>
      <c r="I57" s="1743"/>
      <c r="J57" s="1743"/>
      <c r="K57" s="1743"/>
      <c r="L57" s="1743"/>
      <c r="M57" s="1743"/>
      <c r="N57" s="1743"/>
      <c r="O57" s="1744"/>
      <c r="P57" s="1760">
        <f>'Investment - Deduction'!U61</f>
        <v>0</v>
      </c>
      <c r="Q57" s="1761"/>
      <c r="R57" s="1762"/>
      <c r="S57" s="1741">
        <f>IF(300000&gt;=P57,P57,300000)</f>
        <v>0</v>
      </c>
      <c r="T57" s="1741"/>
      <c r="U57" s="1741"/>
      <c r="V57" s="416"/>
      <c r="W57" s="417"/>
      <c r="X57" s="418"/>
      <c r="Y57" s="1027"/>
      <c r="Z57" s="171"/>
      <c r="AA57" s="997"/>
      <c r="AB57" s="997"/>
      <c r="AC57" s="998" t="e">
        <f>IF((S14*0.1)&gt;='Other than Salary Income'!M98,'Other than Salary Income'!M98,(S14*0.1))</f>
        <v>#VALUE!</v>
      </c>
      <c r="AD57" s="999" t="s">
        <v>197</v>
      </c>
      <c r="AE57" s="997"/>
      <c r="AF57" s="997">
        <v>83</v>
      </c>
      <c r="AG57" s="997"/>
      <c r="AH57" s="997"/>
    </row>
    <row r="58" spans="1:34" ht="18" customHeight="1">
      <c r="C58" s="188"/>
      <c r="D58" s="799" t="s">
        <v>137</v>
      </c>
      <c r="E58" s="1742" t="str">
        <f>'Other than Salary Income'!D102</f>
        <v>Section 80RRB</v>
      </c>
      <c r="F58" s="1743"/>
      <c r="G58" s="1743"/>
      <c r="H58" s="1743"/>
      <c r="I58" s="1743"/>
      <c r="J58" s="1743"/>
      <c r="K58" s="1743"/>
      <c r="L58" s="1743"/>
      <c r="M58" s="1743"/>
      <c r="N58" s="1743"/>
      <c r="O58" s="1743"/>
      <c r="P58" s="1760">
        <f>'Investment - Deduction'!U62</f>
        <v>0</v>
      </c>
      <c r="Q58" s="1761"/>
      <c r="R58" s="1762"/>
      <c r="S58" s="1741">
        <f>IF(300000&gt;=P58,P58,300000)</f>
        <v>0</v>
      </c>
      <c r="T58" s="1741"/>
      <c r="U58" s="1741"/>
      <c r="V58" s="540"/>
      <c r="W58" s="541"/>
      <c r="X58" s="542"/>
      <c r="Y58" s="1027"/>
      <c r="Z58" s="171"/>
      <c r="AA58" s="997"/>
      <c r="AB58" s="997"/>
      <c r="AC58" s="998" t="e">
        <f>IF((S14*0.1)&gt;='Other than Salary Income'!M99,'Other than Salary Income'!M99,(S14*0.1))</f>
        <v>#VALUE!</v>
      </c>
      <c r="AD58" s="999" t="s">
        <v>198</v>
      </c>
      <c r="AE58" s="997"/>
      <c r="AF58" s="997">
        <v>84</v>
      </c>
      <c r="AG58" s="997"/>
      <c r="AH58" s="997"/>
    </row>
    <row r="59" spans="1:34" ht="18" customHeight="1">
      <c r="C59" s="190">
        <v>8</v>
      </c>
      <c r="D59" s="1751" t="s">
        <v>27</v>
      </c>
      <c r="E59" s="1752"/>
      <c r="F59" s="1752"/>
      <c r="G59" s="1752"/>
      <c r="H59" s="1752"/>
      <c r="I59" s="1752"/>
      <c r="J59" s="1752"/>
      <c r="K59" s="1752"/>
      <c r="L59" s="1752"/>
      <c r="M59" s="1752"/>
      <c r="N59" s="1752"/>
      <c r="O59" s="1752"/>
      <c r="P59" s="1752"/>
      <c r="Q59" s="1752"/>
      <c r="R59" s="1752"/>
      <c r="S59" s="1752"/>
      <c r="T59" s="1752"/>
      <c r="U59" s="1753"/>
      <c r="V59" s="1619">
        <f>S58+S57+S56+S55+S54+S53+S50+S51+S52</f>
        <v>0</v>
      </c>
      <c r="W59" s="1613"/>
      <c r="X59" s="1613"/>
      <c r="Y59" s="1027"/>
      <c r="Z59" s="171"/>
      <c r="AA59" s="997"/>
      <c r="AB59" s="997"/>
      <c r="AC59" s="997"/>
      <c r="AD59" s="997"/>
      <c r="AE59" s="997"/>
      <c r="AF59" s="997"/>
      <c r="AG59" s="997"/>
      <c r="AH59" s="997"/>
    </row>
    <row r="60" spans="1:34" ht="18" customHeight="1">
      <c r="C60" s="189">
        <v>9</v>
      </c>
      <c r="D60" s="1751" t="s">
        <v>512</v>
      </c>
      <c r="E60" s="1752"/>
      <c r="F60" s="1752"/>
      <c r="G60" s="1752"/>
      <c r="H60" s="1752"/>
      <c r="I60" s="1752"/>
      <c r="J60" s="1752"/>
      <c r="K60" s="1752"/>
      <c r="L60" s="1752"/>
      <c r="M60" s="1752"/>
      <c r="N60" s="1752"/>
      <c r="O60" s="1752"/>
      <c r="P60" s="1752"/>
      <c r="Q60" s="1752"/>
      <c r="R60" s="1752"/>
      <c r="S60" s="1752"/>
      <c r="T60" s="1752"/>
      <c r="U60" s="1753"/>
      <c r="V60" s="1613">
        <f>V48-V59</f>
        <v>810523</v>
      </c>
      <c r="W60" s="1613"/>
      <c r="X60" s="1613"/>
      <c r="Y60" s="1027"/>
      <c r="Z60" s="171"/>
      <c r="AA60" s="997"/>
      <c r="AB60" s="997"/>
      <c r="AC60" s="997"/>
      <c r="AD60" s="997"/>
      <c r="AE60" s="997"/>
      <c r="AF60" s="997"/>
      <c r="AG60" s="997"/>
      <c r="AH60" s="997"/>
    </row>
    <row r="61" spans="1:34" ht="18" customHeight="1">
      <c r="C61" s="190">
        <v>10</v>
      </c>
      <c r="D61" s="1633" t="s">
        <v>422</v>
      </c>
      <c r="E61" s="1621"/>
      <c r="F61" s="1621"/>
      <c r="G61" s="1621"/>
      <c r="H61" s="1621"/>
      <c r="I61" s="1621"/>
      <c r="J61" s="1621"/>
      <c r="K61" s="1621"/>
      <c r="L61" s="1621"/>
      <c r="M61" s="1621"/>
      <c r="N61" s="1621"/>
      <c r="O61" s="1621"/>
      <c r="P61" s="1634" t="s">
        <v>128</v>
      </c>
      <c r="Q61" s="1634"/>
      <c r="R61" s="1634"/>
      <c r="S61" s="1634" t="s">
        <v>129</v>
      </c>
      <c r="T61" s="1634"/>
      <c r="U61" s="1634"/>
      <c r="V61" s="1745"/>
      <c r="W61" s="1746"/>
      <c r="X61" s="1747"/>
      <c r="Y61" s="1027"/>
      <c r="Z61" s="171"/>
      <c r="AA61" s="997"/>
      <c r="AB61" s="997"/>
      <c r="AC61" s="997"/>
      <c r="AD61" s="997"/>
      <c r="AE61" s="997"/>
      <c r="AF61" s="997"/>
      <c r="AG61" s="997"/>
      <c r="AH61" s="997"/>
    </row>
    <row r="62" spans="1:34">
      <c r="C62" s="188"/>
      <c r="D62" s="916" t="s">
        <v>171</v>
      </c>
      <c r="E62" s="1633" t="str">
        <f>'Earning- Salary'!A36</f>
        <v>GPF (Without NPS)</v>
      </c>
      <c r="F62" s="1621"/>
      <c r="G62" s="1621"/>
      <c r="H62" s="1621"/>
      <c r="I62" s="1621"/>
      <c r="J62" s="1621"/>
      <c r="K62" s="1621"/>
      <c r="L62" s="1621"/>
      <c r="M62" s="1621"/>
      <c r="N62" s="1621"/>
      <c r="O62" s="1621"/>
      <c r="P62" s="1622">
        <f>'Earning- Salary'!N36+'Earning- Salary'!N37</f>
        <v>24000</v>
      </c>
      <c r="Q62" s="1622"/>
      <c r="R62" s="1622"/>
      <c r="S62" s="1622">
        <f t="shared" ref="S62:S71" si="0">P62</f>
        <v>24000</v>
      </c>
      <c r="T62" s="1622"/>
      <c r="U62" s="1622"/>
      <c r="V62" s="1748"/>
      <c r="W62" s="1749"/>
      <c r="X62" s="1750"/>
      <c r="Y62" s="1027"/>
      <c r="Z62" s="171"/>
      <c r="AA62" s="997"/>
      <c r="AB62" s="997"/>
      <c r="AC62" s="997"/>
      <c r="AD62" s="997"/>
      <c r="AE62" s="997"/>
      <c r="AF62" s="997"/>
      <c r="AG62" s="997"/>
      <c r="AH62" s="997"/>
    </row>
    <row r="63" spans="1:34">
      <c r="C63" s="188"/>
      <c r="D63" s="916" t="s">
        <v>169</v>
      </c>
      <c r="E63" s="1620" t="s">
        <v>133</v>
      </c>
      <c r="F63" s="1621"/>
      <c r="G63" s="1621"/>
      <c r="H63" s="1621"/>
      <c r="I63" s="1621"/>
      <c r="J63" s="1621"/>
      <c r="K63" s="1621"/>
      <c r="L63" s="1621"/>
      <c r="M63" s="1621"/>
      <c r="N63" s="1621"/>
      <c r="O63" s="1621"/>
      <c r="P63" s="1622">
        <f>'Earning- Salary'!N42</f>
        <v>4800</v>
      </c>
      <c r="Q63" s="1622"/>
      <c r="R63" s="1622"/>
      <c r="S63" s="1622">
        <f t="shared" si="0"/>
        <v>4800</v>
      </c>
      <c r="T63" s="1622"/>
      <c r="U63" s="1622"/>
      <c r="V63" s="1748"/>
      <c r="W63" s="1749"/>
      <c r="X63" s="1750"/>
      <c r="Y63" s="1027"/>
      <c r="Z63" s="171"/>
      <c r="AA63" s="997"/>
      <c r="AB63" s="997"/>
      <c r="AC63" s="997"/>
      <c r="AD63" s="997"/>
      <c r="AE63" s="997"/>
      <c r="AF63" s="997"/>
      <c r="AG63" s="997"/>
      <c r="AH63" s="997"/>
    </row>
    <row r="64" spans="1:34">
      <c r="C64" s="188"/>
      <c r="D64" s="916" t="s">
        <v>170</v>
      </c>
      <c r="E64" s="1620" t="str">
        <f>'Investment - Deduction'!D66</f>
        <v>Public Provident Fund [ PPF ]</v>
      </c>
      <c r="F64" s="1621"/>
      <c r="G64" s="1621"/>
      <c r="H64" s="1621"/>
      <c r="I64" s="1621"/>
      <c r="J64" s="1621"/>
      <c r="K64" s="1621"/>
      <c r="L64" s="1621"/>
      <c r="M64" s="1621"/>
      <c r="N64" s="1621"/>
      <c r="O64" s="1621"/>
      <c r="P64" s="1622">
        <f>'Investment - Deduction'!U66</f>
        <v>0</v>
      </c>
      <c r="Q64" s="1622"/>
      <c r="R64" s="1622"/>
      <c r="S64" s="1622">
        <f t="shared" si="0"/>
        <v>0</v>
      </c>
      <c r="T64" s="1622"/>
      <c r="U64" s="1622"/>
      <c r="V64" s="1748"/>
      <c r="W64" s="1749"/>
      <c r="X64" s="1750"/>
      <c r="Y64" s="1027"/>
      <c r="Z64" s="171"/>
      <c r="AA64" s="997"/>
      <c r="AB64" s="997"/>
      <c r="AC64" s="997"/>
      <c r="AD64" s="997"/>
      <c r="AE64" s="997"/>
      <c r="AF64" s="997"/>
      <c r="AG64" s="997"/>
      <c r="AH64" s="997"/>
    </row>
    <row r="65" spans="1:34">
      <c r="C65" s="188"/>
      <c r="D65" s="916" t="s">
        <v>477</v>
      </c>
      <c r="E65" s="1624" t="s">
        <v>504</v>
      </c>
      <c r="F65" s="1731"/>
      <c r="G65" s="1731"/>
      <c r="H65" s="1731"/>
      <c r="I65" s="1731"/>
      <c r="J65" s="1731"/>
      <c r="K65" s="1731"/>
      <c r="L65" s="1731"/>
      <c r="M65" s="1731"/>
      <c r="N65" s="1731"/>
      <c r="O65" s="1731"/>
      <c r="P65" s="1622">
        <f>'Investment - Deduction'!M95+'Earning- Salary'!N44+'Investment - Deduction'!M97+'Earning- Salary'!N43</f>
        <v>0</v>
      </c>
      <c r="Q65" s="1622"/>
      <c r="R65" s="1622"/>
      <c r="S65" s="1622">
        <f t="shared" si="0"/>
        <v>0</v>
      </c>
      <c r="T65" s="1622"/>
      <c r="U65" s="1622"/>
      <c r="V65" s="1748"/>
      <c r="W65" s="1749"/>
      <c r="X65" s="1750"/>
      <c r="Y65" s="1027"/>
      <c r="Z65" s="171"/>
      <c r="AA65" s="997"/>
      <c r="AB65" s="997"/>
      <c r="AC65" s="997"/>
      <c r="AD65" s="997"/>
      <c r="AE65" s="997"/>
      <c r="AF65" s="997"/>
      <c r="AG65" s="997"/>
      <c r="AH65" s="997"/>
    </row>
    <row r="66" spans="1:34" ht="18" customHeight="1">
      <c r="C66" s="188"/>
      <c r="D66" s="916" t="s">
        <v>522</v>
      </c>
      <c r="E66" s="1624" t="str">
        <f>'Investment - Deduction'!D77</f>
        <v>Any Other Deduction U/s 80C</v>
      </c>
      <c r="F66" s="1731"/>
      <c r="G66" s="1731"/>
      <c r="H66" s="1731"/>
      <c r="I66" s="1731"/>
      <c r="J66" s="1731"/>
      <c r="K66" s="1731"/>
      <c r="L66" s="1731"/>
      <c r="M66" s="1731"/>
      <c r="N66" s="1731"/>
      <c r="O66" s="1731"/>
      <c r="P66" s="1622">
        <f>'Investment - Deduction'!T77</f>
        <v>0</v>
      </c>
      <c r="Q66" s="1622"/>
      <c r="R66" s="1622"/>
      <c r="S66" s="1622">
        <f t="shared" si="0"/>
        <v>0</v>
      </c>
      <c r="T66" s="1622"/>
      <c r="U66" s="1622"/>
      <c r="V66" s="1748"/>
      <c r="W66" s="1749"/>
      <c r="X66" s="1750"/>
      <c r="Y66" s="1027"/>
      <c r="Z66" s="171"/>
      <c r="AA66" s="997"/>
      <c r="AB66" s="997"/>
      <c r="AC66" s="997"/>
      <c r="AD66" s="997"/>
      <c r="AE66" s="997"/>
      <c r="AF66" s="997"/>
      <c r="AG66" s="997"/>
      <c r="AH66" s="997"/>
    </row>
    <row r="67" spans="1:34" ht="33.75" customHeight="1">
      <c r="C67" s="188"/>
      <c r="D67" s="916" t="s">
        <v>523</v>
      </c>
      <c r="E67" s="1624" t="str">
        <f>'Investment - Deduction'!D67</f>
        <v>Deposit in 10 Year, 15 Years 
Account Under the Post Office Saving (CTD) / RD</v>
      </c>
      <c r="F67" s="1731"/>
      <c r="G67" s="1731"/>
      <c r="H67" s="1731"/>
      <c r="I67" s="1731"/>
      <c r="J67" s="1731"/>
      <c r="K67" s="1731"/>
      <c r="L67" s="1731"/>
      <c r="M67" s="1731"/>
      <c r="N67" s="1731"/>
      <c r="O67" s="1731"/>
      <c r="P67" s="1622">
        <f>'Investment - Deduction'!U67</f>
        <v>0</v>
      </c>
      <c r="Q67" s="1622"/>
      <c r="R67" s="1622"/>
      <c r="S67" s="1622">
        <f t="shared" si="0"/>
        <v>0</v>
      </c>
      <c r="T67" s="1622"/>
      <c r="U67" s="1622"/>
      <c r="V67" s="1748"/>
      <c r="W67" s="1749"/>
      <c r="X67" s="1750"/>
      <c r="Y67" s="1027"/>
      <c r="Z67" s="171"/>
      <c r="AA67" s="997"/>
      <c r="AB67" s="997"/>
      <c r="AC67" s="997"/>
      <c r="AD67" s="997"/>
      <c r="AE67" s="997"/>
      <c r="AF67" s="997"/>
      <c r="AG67" s="997"/>
      <c r="AH67" s="997"/>
    </row>
    <row r="68" spans="1:34">
      <c r="C68" s="188"/>
      <c r="D68" s="916" t="s">
        <v>524</v>
      </c>
      <c r="E68" s="1754" t="str">
        <f>'Investment - Deduction'!D93</f>
        <v>N S C</v>
      </c>
      <c r="F68" s="1755"/>
      <c r="G68" s="1755"/>
      <c r="H68" s="1755"/>
      <c r="I68" s="1755"/>
      <c r="J68" s="1755"/>
      <c r="K68" s="1755"/>
      <c r="L68" s="1755"/>
      <c r="M68" s="1755"/>
      <c r="N68" s="1755"/>
      <c r="O68" s="1756"/>
      <c r="P68" s="1622">
        <f>'Investment - Deduction'!M93+'Investment - Deduction'!M94</f>
        <v>0</v>
      </c>
      <c r="Q68" s="1622"/>
      <c r="R68" s="1622"/>
      <c r="S68" s="1622">
        <f t="shared" si="0"/>
        <v>0</v>
      </c>
      <c r="T68" s="1622"/>
      <c r="U68" s="1622"/>
      <c r="V68" s="1748"/>
      <c r="W68" s="1749"/>
      <c r="X68" s="1750"/>
      <c r="Y68" s="1027"/>
      <c r="Z68" s="171"/>
      <c r="AA68" s="997"/>
      <c r="AB68" s="997"/>
      <c r="AC68" s="997"/>
      <c r="AD68" s="997"/>
      <c r="AE68" s="997"/>
      <c r="AF68" s="997"/>
      <c r="AG68" s="997"/>
      <c r="AH68" s="997"/>
    </row>
    <row r="69" spans="1:34">
      <c r="C69" s="188"/>
      <c r="D69" s="916" t="s">
        <v>525</v>
      </c>
      <c r="E69" s="917" t="str">
        <f>'Investment - Deduction'!D93</f>
        <v>N S C</v>
      </c>
      <c r="F69" s="918"/>
      <c r="G69" s="918"/>
      <c r="H69" s="918"/>
      <c r="I69" s="918"/>
      <c r="J69" s="918"/>
      <c r="K69" s="918"/>
      <c r="L69" s="918"/>
      <c r="M69" s="918"/>
      <c r="N69" s="918"/>
      <c r="O69" s="918"/>
      <c r="P69" s="1736">
        <f>'Other than Salary Income'!U53</f>
        <v>0</v>
      </c>
      <c r="Q69" s="1737"/>
      <c r="R69" s="1738"/>
      <c r="S69" s="1736">
        <f>'Other than Salary Income'!T53</f>
        <v>0</v>
      </c>
      <c r="T69" s="1737"/>
      <c r="U69" s="1738"/>
      <c r="V69" s="1748"/>
      <c r="W69" s="1749"/>
      <c r="X69" s="1750"/>
      <c r="Y69" s="1027"/>
      <c r="Z69" s="171"/>
      <c r="AA69" s="997"/>
      <c r="AB69" s="997"/>
      <c r="AC69" s="997"/>
      <c r="AD69" s="997"/>
      <c r="AE69" s="997"/>
      <c r="AF69" s="997"/>
      <c r="AG69" s="997"/>
      <c r="AH69" s="997"/>
    </row>
    <row r="70" spans="1:34">
      <c r="C70" s="188"/>
      <c r="D70" s="916" t="s">
        <v>526</v>
      </c>
      <c r="E70" s="1620" t="str">
        <f>'Investment - Deduction'!D68</f>
        <v>NSC Interest re-invested</v>
      </c>
      <c r="F70" s="1621"/>
      <c r="G70" s="1621"/>
      <c r="H70" s="1621"/>
      <c r="I70" s="1621"/>
      <c r="J70" s="1621"/>
      <c r="K70" s="1621"/>
      <c r="L70" s="1621"/>
      <c r="M70" s="1621"/>
      <c r="N70" s="1621"/>
      <c r="O70" s="1621"/>
      <c r="P70" s="1622">
        <f>'Investment - Deduction'!U68</f>
        <v>0</v>
      </c>
      <c r="Q70" s="1622"/>
      <c r="R70" s="1622"/>
      <c r="S70" s="1622">
        <f t="shared" si="0"/>
        <v>0</v>
      </c>
      <c r="T70" s="1622"/>
      <c r="U70" s="1622"/>
      <c r="V70" s="1748"/>
      <c r="W70" s="1749"/>
      <c r="X70" s="1750"/>
      <c r="Y70" s="1027"/>
      <c r="Z70" s="171"/>
      <c r="AA70" s="997"/>
      <c r="AB70" s="997"/>
      <c r="AC70" s="997"/>
      <c r="AD70" s="997"/>
      <c r="AE70" s="997"/>
      <c r="AF70" s="997"/>
      <c r="AG70" s="997"/>
      <c r="AH70" s="997"/>
    </row>
    <row r="71" spans="1:34">
      <c r="C71" s="188"/>
      <c r="D71" s="916" t="s">
        <v>527</v>
      </c>
      <c r="E71" s="1620" t="str">
        <f>'Investment - Deduction'!D69</f>
        <v>ULIP / Infrastructure bonds</v>
      </c>
      <c r="F71" s="1621"/>
      <c r="G71" s="1621"/>
      <c r="H71" s="1621"/>
      <c r="I71" s="1621"/>
      <c r="J71" s="1621"/>
      <c r="K71" s="1621"/>
      <c r="L71" s="1621"/>
      <c r="M71" s="1621"/>
      <c r="N71" s="1621"/>
      <c r="O71" s="1621"/>
      <c r="P71" s="1622">
        <f>'Investment - Deduction'!U69</f>
        <v>0</v>
      </c>
      <c r="Q71" s="1622"/>
      <c r="R71" s="1622"/>
      <c r="S71" s="1622">
        <f t="shared" si="0"/>
        <v>0</v>
      </c>
      <c r="T71" s="1622"/>
      <c r="U71" s="1622"/>
      <c r="V71" s="1748"/>
      <c r="W71" s="1749"/>
      <c r="X71" s="1750"/>
      <c r="Y71" s="1027"/>
      <c r="Z71" s="171"/>
      <c r="AA71" s="997"/>
      <c r="AB71" s="997"/>
      <c r="AC71" s="997"/>
      <c r="AD71" s="997"/>
      <c r="AE71" s="997"/>
      <c r="AF71" s="997"/>
      <c r="AG71" s="997"/>
      <c r="AH71" s="997"/>
    </row>
    <row r="72" spans="1:34">
      <c r="C72" s="188"/>
      <c r="D72" s="916" t="s">
        <v>528</v>
      </c>
      <c r="E72" s="1624" t="str">
        <f>'Investment - Deduction'!D70</f>
        <v>Equity link Saving fund [ Max. Rs. 15,000/- ]</v>
      </c>
      <c r="F72" s="1731"/>
      <c r="G72" s="1731"/>
      <c r="H72" s="1731"/>
      <c r="I72" s="1731"/>
      <c r="J72" s="1731"/>
      <c r="K72" s="1731"/>
      <c r="L72" s="1731"/>
      <c r="M72" s="1731"/>
      <c r="N72" s="1731"/>
      <c r="O72" s="1731"/>
      <c r="P72" s="1622">
        <f>'Investment - Deduction'!U70</f>
        <v>0</v>
      </c>
      <c r="Q72" s="1622"/>
      <c r="R72" s="1622"/>
      <c r="S72" s="1622">
        <f>IF(15000&gt;=P72,P72,15000)</f>
        <v>0</v>
      </c>
      <c r="T72" s="1622"/>
      <c r="U72" s="1622"/>
      <c r="V72" s="1748"/>
      <c r="W72" s="1749"/>
      <c r="X72" s="1750"/>
      <c r="Y72" s="1027"/>
      <c r="Z72" s="171"/>
      <c r="AA72" s="997"/>
      <c r="AB72" s="997"/>
      <c r="AC72" s="997"/>
      <c r="AD72" s="997"/>
      <c r="AE72" s="997"/>
      <c r="AF72" s="997"/>
      <c r="AG72" s="997"/>
      <c r="AH72" s="997"/>
    </row>
    <row r="73" spans="1:34" ht="18" customHeight="1">
      <c r="C73" s="188"/>
      <c r="D73" s="919" t="s">
        <v>529</v>
      </c>
      <c r="E73" s="1563" t="str">
        <f>'Investment - Deduction'!D71</f>
        <v>Equity Shares or Debentures (Subject to a limit of Rs.1,50,000/-)</v>
      </c>
      <c r="F73" s="1564"/>
      <c r="G73" s="1564"/>
      <c r="H73" s="1564"/>
      <c r="I73" s="1564"/>
      <c r="J73" s="1564"/>
      <c r="K73" s="1564"/>
      <c r="L73" s="1564"/>
      <c r="M73" s="1564"/>
      <c r="N73" s="1564"/>
      <c r="O73" s="1648"/>
      <c r="P73" s="1622">
        <f>'Investment - Deduction'!U71</f>
        <v>0</v>
      </c>
      <c r="Q73" s="1622"/>
      <c r="R73" s="1622"/>
      <c r="S73" s="1622">
        <f>IF(150000&gt;=P73,P73,150000)</f>
        <v>0</v>
      </c>
      <c r="T73" s="1622"/>
      <c r="U73" s="1622"/>
      <c r="V73" s="1748"/>
      <c r="W73" s="1749"/>
      <c r="X73" s="1750"/>
      <c r="Y73" s="1027"/>
      <c r="Z73" s="171"/>
      <c r="AA73" s="997"/>
      <c r="AB73" s="997"/>
      <c r="AC73" s="997"/>
      <c r="AD73" s="997"/>
      <c r="AE73" s="997"/>
      <c r="AF73" s="997"/>
      <c r="AG73" s="997"/>
      <c r="AH73" s="997"/>
    </row>
    <row r="74" spans="1:34" ht="18" customHeight="1">
      <c r="C74" s="188"/>
      <c r="D74" s="916" t="s">
        <v>530</v>
      </c>
      <c r="E74" s="1735" t="str">
        <f>'Investment - Deduction'!D72</f>
        <v>Investment in pension fund &amp; ELSS U/s 80C</v>
      </c>
      <c r="F74" s="1731"/>
      <c r="G74" s="1731"/>
      <c r="H74" s="1731"/>
      <c r="I74" s="1731"/>
      <c r="J74" s="1731"/>
      <c r="K74" s="1731"/>
      <c r="L74" s="1731"/>
      <c r="M74" s="1731"/>
      <c r="N74" s="1731"/>
      <c r="O74" s="1731"/>
      <c r="P74" s="1622">
        <f>'Investment - Deduction'!U72</f>
        <v>0</v>
      </c>
      <c r="Q74" s="1622"/>
      <c r="R74" s="1622"/>
      <c r="S74" s="1622">
        <f>P74</f>
        <v>0</v>
      </c>
      <c r="T74" s="1622"/>
      <c r="U74" s="1622"/>
      <c r="V74" s="1748"/>
      <c r="W74" s="1749"/>
      <c r="X74" s="1750"/>
      <c r="Y74" s="1027"/>
      <c r="Z74" s="171"/>
      <c r="AA74" s="997"/>
      <c r="AB74" s="997"/>
      <c r="AC74" s="997"/>
      <c r="AD74" s="997"/>
      <c r="AE74" s="997"/>
      <c r="AF74" s="997"/>
      <c r="AG74" s="997"/>
      <c r="AH74" s="997"/>
    </row>
    <row r="75" spans="1:34" ht="18" customHeight="1">
      <c r="C75" s="188"/>
      <c r="D75" s="916" t="s">
        <v>531</v>
      </c>
      <c r="E75" s="1624" t="s">
        <v>205</v>
      </c>
      <c r="F75" s="1731"/>
      <c r="G75" s="1731"/>
      <c r="H75" s="1731"/>
      <c r="I75" s="1731"/>
      <c r="J75" s="1731"/>
      <c r="K75" s="1731"/>
      <c r="L75" s="1731"/>
      <c r="M75" s="1731"/>
      <c r="N75" s="1731"/>
      <c r="O75" s="1731"/>
      <c r="P75" s="1622">
        <f>'Earning- Salary'!N31+'Investment - Deduction'!M96</f>
        <v>0</v>
      </c>
      <c r="Q75" s="1622"/>
      <c r="R75" s="1622"/>
      <c r="S75" s="1622">
        <f>P75</f>
        <v>0</v>
      </c>
      <c r="T75" s="1622"/>
      <c r="U75" s="1622"/>
      <c r="V75" s="1748"/>
      <c r="W75" s="1749"/>
      <c r="X75" s="1750"/>
      <c r="Y75" s="1027"/>
      <c r="Z75" s="171"/>
      <c r="AA75" s="997"/>
      <c r="AB75" s="997"/>
      <c r="AC75" s="997"/>
      <c r="AD75" s="997"/>
      <c r="AE75" s="997"/>
      <c r="AF75" s="997"/>
      <c r="AG75" s="997"/>
      <c r="AH75" s="997"/>
    </row>
    <row r="76" spans="1:34" ht="18" customHeight="1">
      <c r="C76" s="188"/>
      <c r="D76" s="916" t="s">
        <v>532</v>
      </c>
      <c r="E76" s="1732" t="str">
        <f>'Investment - Deduction'!D76</f>
        <v>Term deposit for a fixed period (Bank Term Deposit Scheme, 2006)</v>
      </c>
      <c r="F76" s="1733"/>
      <c r="G76" s="1733"/>
      <c r="H76" s="1733"/>
      <c r="I76" s="1733"/>
      <c r="J76" s="1733"/>
      <c r="K76" s="1733"/>
      <c r="L76" s="1733"/>
      <c r="M76" s="1733"/>
      <c r="N76" s="1733"/>
      <c r="O76" s="1734"/>
      <c r="P76" s="1622">
        <f>'Investment - Deduction'!U76</f>
        <v>0</v>
      </c>
      <c r="Q76" s="1622"/>
      <c r="R76" s="1622"/>
      <c r="S76" s="1622">
        <f>P76</f>
        <v>0</v>
      </c>
      <c r="T76" s="1622"/>
      <c r="U76" s="1622"/>
      <c r="V76" s="1748"/>
      <c r="W76" s="1749"/>
      <c r="X76" s="1750"/>
      <c r="Y76" s="1027"/>
      <c r="Z76" s="171"/>
      <c r="AA76" s="997"/>
      <c r="AB76" s="997"/>
      <c r="AC76" s="997"/>
      <c r="AD76" s="997"/>
      <c r="AE76" s="997"/>
      <c r="AF76" s="997"/>
      <c r="AG76" s="997"/>
      <c r="AH76" s="997"/>
    </row>
    <row r="77" spans="1:34" ht="30.75" customHeight="1">
      <c r="C77" s="188"/>
      <c r="D77" s="916" t="s">
        <v>533</v>
      </c>
      <c r="E77" s="1624" t="s">
        <v>263</v>
      </c>
      <c r="F77" s="1731"/>
      <c r="G77" s="1731"/>
      <c r="H77" s="1731"/>
      <c r="I77" s="1731"/>
      <c r="J77" s="1731"/>
      <c r="K77" s="1731"/>
      <c r="L77" s="1731"/>
      <c r="M77" s="1731"/>
      <c r="N77" s="1731"/>
      <c r="O77" s="1731"/>
      <c r="P77" s="1622">
        <f>'Investment - Deduction'!U75</f>
        <v>0</v>
      </c>
      <c r="Q77" s="1622"/>
      <c r="R77" s="1622"/>
      <c r="S77" s="1622">
        <f>P77</f>
        <v>0</v>
      </c>
      <c r="T77" s="1622"/>
      <c r="U77" s="1622"/>
      <c r="V77" s="1748"/>
      <c r="W77" s="1749"/>
      <c r="X77" s="1750"/>
      <c r="Y77" s="1027"/>
      <c r="Z77" s="171"/>
      <c r="AA77" s="997"/>
      <c r="AB77" s="997"/>
      <c r="AC77" s="997"/>
      <c r="AD77" s="997"/>
      <c r="AE77" s="997"/>
      <c r="AF77" s="997"/>
      <c r="AG77" s="997"/>
      <c r="AH77" s="997"/>
    </row>
    <row r="78" spans="1:34">
      <c r="C78" s="188"/>
      <c r="D78" s="916" t="s">
        <v>534</v>
      </c>
      <c r="E78" s="1624" t="s">
        <v>491</v>
      </c>
      <c r="F78" s="1625"/>
      <c r="G78" s="1625"/>
      <c r="H78" s="1625"/>
      <c r="I78" s="1625"/>
      <c r="J78" s="1625"/>
      <c r="K78" s="1625"/>
      <c r="L78" s="1625"/>
      <c r="M78" s="1625"/>
      <c r="N78" s="1625"/>
      <c r="O78" s="1626"/>
      <c r="P78" s="1623">
        <f>'Investment - Deduction'!U89</f>
        <v>0</v>
      </c>
      <c r="Q78" s="1623"/>
      <c r="R78" s="1623"/>
      <c r="S78" s="1623">
        <f>P78</f>
        <v>0</v>
      </c>
      <c r="T78" s="1623"/>
      <c r="U78" s="1623"/>
      <c r="V78" s="1748"/>
      <c r="W78" s="1749"/>
      <c r="X78" s="1750"/>
      <c r="Y78" s="1027"/>
      <c r="Z78" s="171"/>
      <c r="AA78" s="997"/>
      <c r="AB78" s="997"/>
      <c r="AC78" s="997"/>
      <c r="AD78" s="997"/>
      <c r="AE78" s="997"/>
      <c r="AF78" s="997"/>
      <c r="AG78" s="997"/>
      <c r="AH78" s="997"/>
    </row>
    <row r="79" spans="1:34">
      <c r="C79" s="188"/>
      <c r="D79" s="916" t="s">
        <v>535</v>
      </c>
      <c r="E79" s="1563" t="s">
        <v>286</v>
      </c>
      <c r="F79" s="1564"/>
      <c r="G79" s="1564"/>
      <c r="H79" s="1564"/>
      <c r="I79" s="1564"/>
      <c r="J79" s="1564"/>
      <c r="K79" s="1564"/>
      <c r="L79" s="1564"/>
      <c r="M79" s="1564"/>
      <c r="N79" s="1564"/>
      <c r="O79" s="1648"/>
      <c r="P79" s="1649">
        <f>'Investment - Deduction'!U90</f>
        <v>0</v>
      </c>
      <c r="Q79" s="1649"/>
      <c r="R79" s="1649"/>
      <c r="S79" s="1649">
        <f>IF(10000&gt;=P79,P79,10000)</f>
        <v>0</v>
      </c>
      <c r="T79" s="1649"/>
      <c r="U79" s="1649"/>
      <c r="V79" s="1748"/>
      <c r="W79" s="1749"/>
      <c r="X79" s="1750"/>
      <c r="Y79" s="1027"/>
      <c r="Z79" s="171"/>
      <c r="AA79" s="997"/>
      <c r="AB79" s="997"/>
      <c r="AC79" s="997"/>
      <c r="AD79" s="997"/>
      <c r="AE79" s="997"/>
      <c r="AF79" s="997"/>
      <c r="AG79" s="997"/>
      <c r="AH79" s="997"/>
    </row>
    <row r="80" spans="1:34" s="559" customFormat="1" ht="18.75">
      <c r="A80" s="557"/>
      <c r="B80" s="557"/>
      <c r="C80" s="558"/>
      <c r="D80" s="914" t="s">
        <v>499</v>
      </c>
      <c r="E80" s="800"/>
      <c r="F80" s="800"/>
      <c r="G80" s="800"/>
      <c r="H80" s="800"/>
      <c r="I80" s="800"/>
      <c r="J80" s="800"/>
      <c r="K80" s="800"/>
      <c r="L80" s="801"/>
      <c r="M80" s="800"/>
      <c r="N80" s="800"/>
      <c r="O80" s="800"/>
      <c r="P80" s="1721">
        <f>'Earning- Salary'!N39+'Earning- Salary'!N40+'Investment - Deduction'!U84</f>
        <v>0</v>
      </c>
      <c r="Q80" s="1721"/>
      <c r="R80" s="1721"/>
      <c r="S80" s="1646">
        <f>IF(150000&gt;=P80,P80,150000)</f>
        <v>0</v>
      </c>
      <c r="T80" s="1646"/>
      <c r="U80" s="1646"/>
      <c r="V80" s="806"/>
      <c r="W80" s="807"/>
      <c r="X80" s="808"/>
      <c r="Y80" s="1028"/>
      <c r="Z80" s="1000"/>
      <c r="AA80" s="1001"/>
      <c r="AB80" s="1001"/>
      <c r="AC80" s="1002" t="s">
        <v>404</v>
      </c>
      <c r="AD80" s="1002"/>
      <c r="AE80" s="1002"/>
      <c r="AF80" s="1002"/>
      <c r="AG80" s="1002"/>
      <c r="AH80" s="1003"/>
    </row>
    <row r="81" spans="1:34" s="559" customFormat="1" ht="18.75">
      <c r="A81" s="557"/>
      <c r="B81" s="557"/>
      <c r="C81" s="558"/>
      <c r="D81" s="1633" t="s">
        <v>437</v>
      </c>
      <c r="E81" s="1722"/>
      <c r="F81" s="1722"/>
      <c r="G81" s="1722"/>
      <c r="H81" s="1722"/>
      <c r="I81" s="1722"/>
      <c r="J81" s="1722"/>
      <c r="K81" s="1722"/>
      <c r="L81" s="1722"/>
      <c r="M81" s="1722"/>
      <c r="N81" s="1722"/>
      <c r="O81" s="1722"/>
      <c r="P81" s="1722"/>
      <c r="Q81" s="1722"/>
      <c r="R81" s="1722"/>
      <c r="S81" s="1723"/>
      <c r="T81" s="1723"/>
      <c r="U81" s="1724"/>
      <c r="V81" s="806"/>
      <c r="W81" s="807"/>
      <c r="X81" s="808"/>
      <c r="Y81" s="1028"/>
      <c r="Z81" s="1000"/>
      <c r="AA81" s="1001"/>
      <c r="AB81" s="1001"/>
      <c r="AC81" s="1004"/>
      <c r="AD81" s="1004"/>
      <c r="AE81" s="1004"/>
      <c r="AF81" s="1004"/>
      <c r="AG81" s="1004"/>
      <c r="AH81" s="1003"/>
    </row>
    <row r="82" spans="1:34" ht="18.75">
      <c r="C82" s="188"/>
      <c r="D82" s="922"/>
      <c r="E82" s="923" t="s">
        <v>424</v>
      </c>
      <c r="F82" s="924"/>
      <c r="G82" s="924"/>
      <c r="H82" s="924"/>
      <c r="I82" s="924"/>
      <c r="J82" s="924"/>
      <c r="K82" s="924"/>
      <c r="L82" s="924"/>
      <c r="M82" s="924"/>
      <c r="N82" s="924"/>
      <c r="O82" s="924"/>
      <c r="P82" s="1725">
        <f>SUM(S62:U81)</f>
        <v>28800</v>
      </c>
      <c r="Q82" s="1725"/>
      <c r="R82" s="1725"/>
      <c r="S82" s="1730">
        <f>IF(150000&gt;=P82,P82,150000)</f>
        <v>28800</v>
      </c>
      <c r="T82" s="1730"/>
      <c r="U82" s="1730"/>
      <c r="V82" s="806"/>
      <c r="W82" s="807"/>
      <c r="X82" s="808"/>
      <c r="Y82" s="1027"/>
      <c r="Z82" s="171"/>
      <c r="AA82" s="997"/>
      <c r="AB82" s="997"/>
      <c r="AC82" s="1005"/>
      <c r="AD82" s="1005"/>
      <c r="AE82" s="1005"/>
      <c r="AF82" s="1005"/>
      <c r="AG82" s="1005"/>
      <c r="AH82" s="1006"/>
    </row>
    <row r="83" spans="1:34" ht="15" customHeight="1">
      <c r="C83" s="188"/>
      <c r="D83" s="804" t="str">
        <f>'Investment - Deduction'!D85</f>
        <v>Section 80CCD(1B) Invest in Nation Pension Scheme (Maximum up to 50000)</v>
      </c>
      <c r="E83" s="805"/>
      <c r="F83" s="805"/>
      <c r="G83" s="805"/>
      <c r="H83" s="805"/>
      <c r="I83" s="805"/>
      <c r="J83" s="805"/>
      <c r="K83" s="805"/>
      <c r="L83" s="801"/>
      <c r="M83" s="920"/>
      <c r="N83" s="920"/>
      <c r="O83" s="921"/>
      <c r="P83" s="1726">
        <f>'Investment - Deduction'!U85</f>
        <v>0</v>
      </c>
      <c r="Q83" s="1726"/>
      <c r="R83" s="1726"/>
      <c r="S83" s="1727">
        <f>IF(50000&gt;=P83,P83,50000)</f>
        <v>0</v>
      </c>
      <c r="T83" s="1728"/>
      <c r="U83" s="1729"/>
      <c r="V83" s="806"/>
      <c r="W83" s="807"/>
      <c r="X83" s="808"/>
      <c r="Y83" s="1027"/>
      <c r="Z83" s="171"/>
      <c r="AA83" s="997"/>
      <c r="AB83" s="997"/>
      <c r="AC83" s="1007"/>
      <c r="AD83" s="1007"/>
      <c r="AE83" s="1007"/>
      <c r="AF83" s="1007"/>
      <c r="AG83" s="1007"/>
      <c r="AH83" s="1007"/>
    </row>
    <row r="84" spans="1:34" ht="18" customHeight="1">
      <c r="C84" s="188"/>
      <c r="D84" s="910" t="s">
        <v>436</v>
      </c>
      <c r="E84" s="925"/>
      <c r="F84" s="915"/>
      <c r="G84" s="915"/>
      <c r="H84" s="915"/>
      <c r="I84" s="915"/>
      <c r="J84" s="915"/>
      <c r="K84" s="915"/>
      <c r="L84" s="915"/>
      <c r="M84" s="915"/>
      <c r="N84" s="915"/>
      <c r="O84" s="915"/>
      <c r="P84" s="1713">
        <f>'Investment - Deduction'!U78</f>
        <v>0</v>
      </c>
      <c r="Q84" s="1713"/>
      <c r="R84" s="1713"/>
      <c r="S84" s="1649">
        <f>IF(25000&gt;=P84,(P84/2),25000)</f>
        <v>0</v>
      </c>
      <c r="T84" s="1649"/>
      <c r="U84" s="1649"/>
      <c r="V84" s="926"/>
      <c r="W84" s="927"/>
      <c r="X84" s="928"/>
      <c r="Y84" s="1027"/>
      <c r="Z84" s="171"/>
      <c r="AA84" s="997"/>
      <c r="AB84" s="997"/>
      <c r="AC84" s="1008" t="s">
        <v>63</v>
      </c>
      <c r="AD84" s="1009" t="str">
        <f>'Master Deails'!H7</f>
        <v>Shri K J Patel</v>
      </c>
      <c r="AE84" s="1007"/>
      <c r="AF84" s="1710" t="s">
        <v>403</v>
      </c>
      <c r="AG84" s="1710"/>
      <c r="AH84" s="1007"/>
    </row>
    <row r="85" spans="1:34" ht="18" customHeight="1">
      <c r="C85" s="190">
        <v>11</v>
      </c>
      <c r="D85" s="910" t="s">
        <v>431</v>
      </c>
      <c r="E85" s="915"/>
      <c r="F85" s="915"/>
      <c r="G85" s="915"/>
      <c r="H85" s="915"/>
      <c r="I85" s="915"/>
      <c r="J85" s="915"/>
      <c r="K85" s="915"/>
      <c r="L85" s="915"/>
      <c r="M85" s="915"/>
      <c r="N85" s="915"/>
      <c r="O85" s="915"/>
      <c r="P85" s="1719"/>
      <c r="Q85" s="1719"/>
      <c r="R85" s="1719"/>
      <c r="S85" s="1716">
        <f>S82+S83+S84</f>
        <v>28800</v>
      </c>
      <c r="T85" s="1717"/>
      <c r="U85" s="1718"/>
      <c r="V85" s="1623">
        <f>S85</f>
        <v>28800</v>
      </c>
      <c r="W85" s="1623"/>
      <c r="X85" s="1623"/>
      <c r="Y85" s="1027"/>
      <c r="Z85" s="171"/>
      <c r="AA85" s="997"/>
      <c r="AB85" s="997"/>
      <c r="AC85" s="1008" t="s">
        <v>402</v>
      </c>
      <c r="AD85" s="1009" t="str">
        <f>'Master Deails'!H5</f>
        <v>GENERAL</v>
      </c>
      <c r="AE85" s="1007"/>
      <c r="AF85" s="1010" t="s">
        <v>401</v>
      </c>
      <c r="AG85" s="1011">
        <f>AD87+AD88</f>
        <v>781723</v>
      </c>
      <c r="AH85" s="1007"/>
    </row>
    <row r="86" spans="1:34" ht="18" customHeight="1">
      <c r="C86" s="189">
        <v>12</v>
      </c>
      <c r="D86" s="1691" t="s">
        <v>513</v>
      </c>
      <c r="E86" s="1692"/>
      <c r="F86" s="1692"/>
      <c r="G86" s="1692"/>
      <c r="H86" s="1692"/>
      <c r="I86" s="1692"/>
      <c r="J86" s="1692"/>
      <c r="K86" s="1692"/>
      <c r="L86" s="1692"/>
      <c r="M86" s="1692"/>
      <c r="N86" s="1692"/>
      <c r="O86" s="1692"/>
      <c r="P86" s="1692"/>
      <c r="Q86" s="1692"/>
      <c r="R86" s="1692"/>
      <c r="S86" s="1692"/>
      <c r="T86" s="1692"/>
      <c r="U86" s="1693"/>
      <c r="V86" s="1623">
        <f>V60-V85</f>
        <v>781723</v>
      </c>
      <c r="W86" s="1623"/>
      <c r="X86" s="1623"/>
      <c r="Y86" s="1027"/>
      <c r="Z86" s="171"/>
      <c r="AA86" s="997"/>
      <c r="AB86" s="997"/>
      <c r="AC86" s="1012"/>
      <c r="AD86" s="1013"/>
      <c r="AE86" s="1007"/>
      <c r="AF86" s="1010" t="s">
        <v>400</v>
      </c>
      <c r="AG86" s="1011">
        <f>IF(AD88&gt;5000,IF(AE124&gt;0,IF(AD85="GENERAL",AG114,IF(AD85="GENERAL",AG118,IF(AD85="SENIOR CITIZEN",AG119,IF(AD85="Very Senior Citizen &gt; 80 years",AG122,0)))),0),0)</f>
        <v>0</v>
      </c>
      <c r="AH86" s="1007"/>
    </row>
    <row r="87" spans="1:34" ht="18" customHeight="1">
      <c r="C87" s="189">
        <v>13</v>
      </c>
      <c r="D87" s="1691" t="s">
        <v>17</v>
      </c>
      <c r="E87" s="1692"/>
      <c r="F87" s="1692"/>
      <c r="G87" s="1692"/>
      <c r="H87" s="1692"/>
      <c r="I87" s="1692"/>
      <c r="J87" s="1692"/>
      <c r="K87" s="1692"/>
      <c r="L87" s="1692"/>
      <c r="M87" s="1692"/>
      <c r="N87" s="1692"/>
      <c r="O87" s="1692"/>
      <c r="P87" s="1692"/>
      <c r="Q87" s="1692"/>
      <c r="R87" s="1692"/>
      <c r="S87" s="1692"/>
      <c r="T87" s="1692"/>
      <c r="U87" s="1693"/>
      <c r="V87" s="1623">
        <f>ROUND(V86,-1)</f>
        <v>781720</v>
      </c>
      <c r="W87" s="1623"/>
      <c r="X87" s="1623"/>
      <c r="Y87" s="1027"/>
      <c r="Z87" s="171"/>
      <c r="AA87" s="997"/>
      <c r="AB87" s="997"/>
      <c r="AC87" s="1008" t="s">
        <v>399</v>
      </c>
      <c r="AD87" s="1009">
        <f>V86-AD88</f>
        <v>776723</v>
      </c>
      <c r="AE87" s="1007"/>
      <c r="AF87" s="1010" t="s">
        <v>398</v>
      </c>
      <c r="AG87" s="1011">
        <f>IF(AD88&gt;5000,IF(AE124&gt;0,IF(AD85="GENERAL",(AD88+AD114),IF(AD85="GENERAL",AD88+AD118,IF(AD85="SENIOR CITIZEN",AD88+AD119,IF(AD85="Very Senior Citizen &gt; 80 years",AD88+AD121,"Please Select Status")))),0),0)</f>
        <v>0</v>
      </c>
      <c r="AH87" s="1007"/>
    </row>
    <row r="88" spans="1:34" ht="18" customHeight="1">
      <c r="C88" s="187">
        <v>14</v>
      </c>
      <c r="D88" s="1720" t="s">
        <v>18</v>
      </c>
      <c r="E88" s="1592"/>
      <c r="F88" s="1592"/>
      <c r="G88" s="1592"/>
      <c r="H88" s="1592"/>
      <c r="I88" s="1592"/>
      <c r="J88" s="1592"/>
      <c r="K88" s="1592"/>
      <c r="L88" s="1592"/>
      <c r="M88" s="1592"/>
      <c r="N88" s="1592"/>
      <c r="O88" s="1592"/>
      <c r="P88" s="1592"/>
      <c r="Q88" s="1592"/>
      <c r="R88" s="1592"/>
      <c r="S88" s="1592"/>
      <c r="T88" s="1592"/>
      <c r="U88" s="1593"/>
      <c r="V88" s="1623">
        <f>IF('Master Deails'!B5=5,'Calculation (OLD)'!K98,'Calculation (OLD)'!T98)</f>
        <v>68844</v>
      </c>
      <c r="W88" s="1623"/>
      <c r="X88" s="1623"/>
      <c r="Y88" s="1027"/>
      <c r="Z88" s="171"/>
      <c r="AA88" s="997"/>
      <c r="AB88" s="997"/>
      <c r="AC88" s="1008" t="s">
        <v>374</v>
      </c>
      <c r="AD88" s="1009">
        <f>S23</f>
        <v>5000</v>
      </c>
      <c r="AE88" s="1007"/>
      <c r="AF88" s="1010" t="s">
        <v>397</v>
      </c>
      <c r="AG88" s="1011">
        <f>IF(AD88&gt;5000,IF(AE124&gt;0,IF(AD85="GENERAL",AH114,IF(AD85="GENERAL",AH118,IF(AD85="SENIOR CITIZEN",AH119,IF(AD85="Very Senior Citizen &gt; 80 years",AH122,0)))),0),0)</f>
        <v>0</v>
      </c>
      <c r="AH88" s="1007"/>
    </row>
    <row r="89" spans="1:34" ht="18" customHeight="1">
      <c r="C89" s="188"/>
      <c r="D89" s="1703" t="s">
        <v>328</v>
      </c>
      <c r="E89" s="1704"/>
      <c r="F89" s="1704"/>
      <c r="G89" s="1704"/>
      <c r="H89" s="1704"/>
      <c r="I89" s="1704"/>
      <c r="J89" s="1704"/>
      <c r="K89" s="1704"/>
      <c r="L89" s="1705"/>
      <c r="M89" s="1703" t="s">
        <v>329</v>
      </c>
      <c r="N89" s="1704"/>
      <c r="O89" s="1704"/>
      <c r="P89" s="1704"/>
      <c r="Q89" s="1704"/>
      <c r="R89" s="1704"/>
      <c r="S89" s="1704"/>
      <c r="T89" s="1704"/>
      <c r="U89" s="1705"/>
      <c r="V89" s="1560"/>
      <c r="W89" s="1561"/>
      <c r="X89" s="1562"/>
      <c r="Y89" s="1027"/>
      <c r="Z89" s="171"/>
      <c r="AA89" s="997"/>
      <c r="AB89" s="997"/>
      <c r="AC89" s="1012"/>
      <c r="AD89" s="1013"/>
      <c r="AE89" s="1007"/>
      <c r="AF89" s="1010" t="s">
        <v>396</v>
      </c>
      <c r="AG89" s="1011">
        <f>AG86-AG88</f>
        <v>0</v>
      </c>
      <c r="AH89" s="1007"/>
    </row>
    <row r="90" spans="1:34" ht="15.75">
      <c r="C90" s="188"/>
      <c r="D90" s="1706" t="s">
        <v>19</v>
      </c>
      <c r="E90" s="1707"/>
      <c r="F90" s="1707"/>
      <c r="G90" s="1707"/>
      <c r="H90" s="1707"/>
      <c r="I90" s="1707"/>
      <c r="J90" s="1707"/>
      <c r="K90" s="1712" t="s">
        <v>141</v>
      </c>
      <c r="L90" s="1585"/>
      <c r="M90" s="1714" t="s">
        <v>19</v>
      </c>
      <c r="N90" s="1715"/>
      <c r="O90" s="1715"/>
      <c r="P90" s="1715"/>
      <c r="Q90" s="1715"/>
      <c r="R90" s="1715"/>
      <c r="S90" s="1715"/>
      <c r="T90" s="1712" t="s">
        <v>141</v>
      </c>
      <c r="U90" s="1585"/>
      <c r="V90" s="1565"/>
      <c r="W90" s="1566"/>
      <c r="X90" s="1567"/>
      <c r="Y90" s="1027"/>
      <c r="Z90" s="171"/>
      <c r="AA90" s="997"/>
      <c r="AB90" s="997"/>
      <c r="AC90" s="1711" t="str">
        <f>IF(AD84="","Hi! Please enter your Name in the Box provided above",IF(AD85="",CONCATENATE("Hi there, ",AD84,", Please Select Your Status and Fill your Income"),IF(AD88="",CONCATENATE("That's Great ",AD84,", Please Fill your Agricultural and Non Agricultural Income Now"),IF(AD88&lt;5000,"Your Agricultural Income is fully Exempt as it is below Rs.5000",IF(AND(AD88&gt;5000,AE124&lt;1),"Your agricultural income is fully exempt as your non agricultural Income has not exceeded your basic exemption limit",CONCATENATE("The Net Tax Payable is Rs.",AG92))))))</f>
        <v>The Net Tax Payable is Rs.0</v>
      </c>
      <c r="AD90" s="1711"/>
      <c r="AE90" s="1007"/>
      <c r="AF90" s="1010" t="s">
        <v>395</v>
      </c>
      <c r="AG90" s="1011">
        <f>AG89*2%</f>
        <v>0</v>
      </c>
      <c r="AH90" s="1007"/>
    </row>
    <row r="91" spans="1:34" ht="15.75">
      <c r="C91" s="188"/>
      <c r="D91" s="1635" t="s">
        <v>330</v>
      </c>
      <c r="E91" s="1636"/>
      <c r="F91" s="1636"/>
      <c r="G91" s="1636"/>
      <c r="H91" s="1636"/>
      <c r="I91" s="1637"/>
      <c r="J91" s="573" t="s">
        <v>61</v>
      </c>
      <c r="K91" s="1708">
        <v>0</v>
      </c>
      <c r="L91" s="1709"/>
      <c r="M91" s="1635" t="s">
        <v>419</v>
      </c>
      <c r="N91" s="1636"/>
      <c r="O91" s="1636"/>
      <c r="P91" s="1636"/>
      <c r="Q91" s="1636"/>
      <c r="R91" s="1637"/>
      <c r="S91" s="573" t="s">
        <v>61</v>
      </c>
      <c r="T91" s="1708">
        <v>0</v>
      </c>
      <c r="U91" s="1709"/>
      <c r="V91" s="1565"/>
      <c r="W91" s="1566"/>
      <c r="X91" s="1567"/>
      <c r="Y91" s="1027"/>
      <c r="Z91" s="171"/>
      <c r="AA91" s="997"/>
      <c r="AB91" s="997"/>
      <c r="AC91" s="1711"/>
      <c r="AD91" s="1711"/>
      <c r="AE91" s="1007"/>
      <c r="AF91" s="1010" t="s">
        <v>394</v>
      </c>
      <c r="AG91" s="1011">
        <f>AG89*1%</f>
        <v>0</v>
      </c>
      <c r="AH91" s="1007"/>
    </row>
    <row r="92" spans="1:34" ht="15.75">
      <c r="C92" s="188"/>
      <c r="D92" s="574"/>
      <c r="E92" s="1639">
        <f>IF('Master Deails'!B5=5,(IF(V87&lt;=250000,V87,250000)),0)</f>
        <v>250000</v>
      </c>
      <c r="F92" s="1639"/>
      <c r="G92" s="1639">
        <f>IF(E92&lt;=250000,E92,250000)</f>
        <v>250000</v>
      </c>
      <c r="H92" s="1639"/>
      <c r="I92" s="575"/>
      <c r="J92" s="576"/>
      <c r="K92" s="577"/>
      <c r="L92" s="578"/>
      <c r="M92" s="1638">
        <f>IF('Master Deails'!B5=6,(IF(V87&lt;=300000,V87,300000)),0)</f>
        <v>0</v>
      </c>
      <c r="N92" s="1639"/>
      <c r="O92" s="1639">
        <f>IF(M92&lt;=300000,M92,300000)</f>
        <v>0</v>
      </c>
      <c r="P92" s="1639"/>
      <c r="Q92" s="567"/>
      <c r="R92" s="579"/>
      <c r="S92" s="576"/>
      <c r="T92" s="577"/>
      <c r="U92" s="578"/>
      <c r="V92" s="416"/>
      <c r="W92" s="417"/>
      <c r="X92" s="418"/>
      <c r="Y92" s="1027"/>
      <c r="Z92" s="171"/>
      <c r="AA92" s="997"/>
      <c r="AB92" s="997"/>
      <c r="AC92" s="1711"/>
      <c r="AD92" s="1711"/>
      <c r="AE92" s="1007"/>
      <c r="AF92" s="1010" t="s">
        <v>393</v>
      </c>
      <c r="AG92" s="1011">
        <f>ROUND(AG89+AG90+AG91,0)</f>
        <v>0</v>
      </c>
      <c r="AH92" s="1007"/>
    </row>
    <row r="93" spans="1:34">
      <c r="C93" s="188"/>
      <c r="D93" s="1635" t="s">
        <v>331</v>
      </c>
      <c r="E93" s="1636"/>
      <c r="F93" s="1636"/>
      <c r="G93" s="1636"/>
      <c r="H93" s="1636"/>
      <c r="I93" s="1637"/>
      <c r="J93" s="580">
        <v>0.05</v>
      </c>
      <c r="K93" s="1643">
        <f>ROUND(G94*0.05,0)</f>
        <v>12500</v>
      </c>
      <c r="L93" s="1644"/>
      <c r="M93" s="1635" t="s">
        <v>420</v>
      </c>
      <c r="N93" s="1636"/>
      <c r="O93" s="1636"/>
      <c r="P93" s="1636"/>
      <c r="Q93" s="1636"/>
      <c r="R93" s="1637"/>
      <c r="S93" s="580">
        <v>0.05</v>
      </c>
      <c r="T93" s="1643">
        <f>ROUND(O94*0.05,0)</f>
        <v>0</v>
      </c>
      <c r="U93" s="1644"/>
      <c r="V93" s="1565"/>
      <c r="W93" s="1566"/>
      <c r="X93" s="1567"/>
      <c r="Y93" s="1027"/>
      <c r="Z93" s="171"/>
      <c r="AA93" s="997"/>
      <c r="AB93" s="997"/>
      <c r="AC93" s="1711"/>
      <c r="AD93" s="1711"/>
      <c r="AE93" s="1014"/>
      <c r="AF93" s="1062" t="s">
        <v>594</v>
      </c>
      <c r="AG93" s="1062"/>
      <c r="AH93" s="1007"/>
    </row>
    <row r="94" spans="1:34">
      <c r="C94" s="188"/>
      <c r="D94" s="581"/>
      <c r="E94" s="1639">
        <f>IF('Master Deails'!B5=5,(IF(V87&lt;=500000,V87-250000,250000)),0)</f>
        <v>250000</v>
      </c>
      <c r="F94" s="1639"/>
      <c r="G94" s="1640">
        <f>IF(E94&lt;=0,0,E94)</f>
        <v>250000</v>
      </c>
      <c r="H94" s="1640"/>
      <c r="I94" s="579"/>
      <c r="J94" s="582"/>
      <c r="K94" s="583"/>
      <c r="L94" s="584"/>
      <c r="M94" s="1638">
        <f>IF('Master Deails'!B5=6,(IF(V87&lt;=500000,V87-300000,200000)),0)</f>
        <v>0</v>
      </c>
      <c r="N94" s="1639"/>
      <c r="O94" s="1640">
        <f>IF(M94&lt;=0,0,M94)</f>
        <v>0</v>
      </c>
      <c r="P94" s="1640"/>
      <c r="Q94" s="567"/>
      <c r="R94" s="579"/>
      <c r="S94" s="582"/>
      <c r="T94" s="583"/>
      <c r="U94" s="584"/>
      <c r="V94" s="416"/>
      <c r="W94" s="417"/>
      <c r="X94" s="418"/>
      <c r="Y94" s="1027"/>
      <c r="Z94" s="171"/>
      <c r="AA94" s="1015"/>
      <c r="AB94" s="1016"/>
      <c r="AC94" s="1711"/>
      <c r="AD94" s="1711"/>
      <c r="AE94" s="1017"/>
      <c r="AF94" s="1017"/>
      <c r="AG94" s="1017"/>
      <c r="AH94" s="1007"/>
    </row>
    <row r="95" spans="1:34">
      <c r="C95" s="188"/>
      <c r="D95" s="1635" t="s">
        <v>332</v>
      </c>
      <c r="E95" s="1636"/>
      <c r="F95" s="1636"/>
      <c r="G95" s="1636"/>
      <c r="H95" s="1636"/>
      <c r="I95" s="1637"/>
      <c r="J95" s="580">
        <v>0.2</v>
      </c>
      <c r="K95" s="1643">
        <f>ROUND(G96*0.2,0)</f>
        <v>56344</v>
      </c>
      <c r="L95" s="1644"/>
      <c r="M95" s="1635" t="s">
        <v>332</v>
      </c>
      <c r="N95" s="1636"/>
      <c r="O95" s="1636"/>
      <c r="P95" s="1636"/>
      <c r="Q95" s="1636"/>
      <c r="R95" s="1637"/>
      <c r="S95" s="580">
        <v>0.2</v>
      </c>
      <c r="T95" s="1643">
        <f>ROUND(O96*0.2,0)</f>
        <v>0</v>
      </c>
      <c r="U95" s="1644"/>
      <c r="V95" s="1565"/>
      <c r="W95" s="1566"/>
      <c r="X95" s="1567"/>
      <c r="Y95" s="1027"/>
      <c r="Z95" s="171"/>
      <c r="AA95" s="1018" t="s">
        <v>411</v>
      </c>
      <c r="AB95" s="1019">
        <f>IF(V87&lt;=500000,12500,0)</f>
        <v>0</v>
      </c>
      <c r="AC95" s="1711"/>
      <c r="AD95" s="1711"/>
      <c r="AE95" s="1017"/>
      <c r="AF95" s="1007"/>
      <c r="AG95" s="1007"/>
      <c r="AH95" s="1007"/>
    </row>
    <row r="96" spans="1:34" ht="15.75">
      <c r="C96" s="188"/>
      <c r="D96" s="581"/>
      <c r="E96" s="1639">
        <f>IF('Master Deails'!B5=5,(IF(V87&lt;=1000000,V87-500000,500000)),0)</f>
        <v>281720</v>
      </c>
      <c r="F96" s="1639"/>
      <c r="G96" s="1640">
        <f>IF(E96&lt;=0,0,E96)</f>
        <v>281720</v>
      </c>
      <c r="H96" s="1640"/>
      <c r="I96" s="579"/>
      <c r="J96" s="582"/>
      <c r="K96" s="583"/>
      <c r="L96" s="584"/>
      <c r="M96" s="1638">
        <f>IF('Master Deails'!B5=6,(IF(V87&lt;=1000000,V87-500000,500000)),0)</f>
        <v>0</v>
      </c>
      <c r="N96" s="1639"/>
      <c r="O96" s="1640">
        <f>IF(M96&lt;=0,0,M96)</f>
        <v>0</v>
      </c>
      <c r="P96" s="1640"/>
      <c r="Q96" s="567"/>
      <c r="R96" s="579"/>
      <c r="S96" s="582"/>
      <c r="T96" s="583"/>
      <c r="U96" s="584"/>
      <c r="V96" s="416"/>
      <c r="W96" s="417"/>
      <c r="X96" s="418"/>
      <c r="Y96" s="1027"/>
      <c r="Z96" s="171"/>
      <c r="AA96" s="1018" t="s">
        <v>590</v>
      </c>
      <c r="AB96" s="1019">
        <f>V88</f>
        <v>68844</v>
      </c>
      <c r="AC96" s="1711"/>
      <c r="AD96" s="1711"/>
      <c r="AE96" s="1020"/>
      <c r="AF96" s="1020"/>
      <c r="AG96" s="1020"/>
      <c r="AH96" s="1007"/>
    </row>
    <row r="97" spans="1:34" ht="15.75">
      <c r="C97" s="188"/>
      <c r="D97" s="1635" t="s">
        <v>333</v>
      </c>
      <c r="E97" s="1636"/>
      <c r="F97" s="1636"/>
      <c r="G97" s="1636"/>
      <c r="H97" s="1636"/>
      <c r="I97" s="1637"/>
      <c r="J97" s="580">
        <v>0.3</v>
      </c>
      <c r="K97" s="1643">
        <f>ROUND(G98*0.3,0)</f>
        <v>0</v>
      </c>
      <c r="L97" s="1644"/>
      <c r="M97" s="1635" t="s">
        <v>333</v>
      </c>
      <c r="N97" s="1636"/>
      <c r="O97" s="1636"/>
      <c r="P97" s="1636"/>
      <c r="Q97" s="1636"/>
      <c r="R97" s="1637"/>
      <c r="S97" s="580">
        <v>0.3</v>
      </c>
      <c r="T97" s="1643">
        <f>ROUND(O98*0.3,0)</f>
        <v>0</v>
      </c>
      <c r="U97" s="1644"/>
      <c r="V97" s="1565"/>
      <c r="W97" s="1566"/>
      <c r="X97" s="1567"/>
      <c r="Y97" s="1027"/>
      <c r="Z97" s="171"/>
      <c r="AA97" s="1018" t="s">
        <v>412</v>
      </c>
      <c r="AB97" s="1019">
        <f>IF(AB96&gt;AB95,AB95,AB96)</f>
        <v>0</v>
      </c>
      <c r="AC97" s="1711"/>
      <c r="AD97" s="1711"/>
      <c r="AE97" s="1020"/>
      <c r="AF97" s="1020"/>
      <c r="AG97" s="1020"/>
      <c r="AH97" s="1007"/>
    </row>
    <row r="98" spans="1:34">
      <c r="C98" s="189"/>
      <c r="D98" s="581"/>
      <c r="E98" s="1639">
        <f>IF('Master Deails'!B5=5,(IF(V87&gt;=1000001,V87-1000000,0)),0)</f>
        <v>0</v>
      </c>
      <c r="F98" s="1639"/>
      <c r="G98" s="1640">
        <f>IF(E98&gt;=0,E98,0)</f>
        <v>0</v>
      </c>
      <c r="H98" s="1640"/>
      <c r="I98" s="579"/>
      <c r="J98" s="582"/>
      <c r="K98" s="1641">
        <f>SUM(K91:K97)</f>
        <v>68844</v>
      </c>
      <c r="L98" s="1642"/>
      <c r="M98" s="1638">
        <f>IF('Master Deails'!B5=6,(IF(V87&gt;=1000001,V87-1000000,0)),0)</f>
        <v>0</v>
      </c>
      <c r="N98" s="1639"/>
      <c r="O98" s="1684">
        <f>IF(M98&gt;=0,M98,0)</f>
        <v>0</v>
      </c>
      <c r="P98" s="1684"/>
      <c r="Q98" s="567"/>
      <c r="R98" s="579"/>
      <c r="S98" s="582"/>
      <c r="T98" s="1641">
        <f>SUM(T91:T97)</f>
        <v>0</v>
      </c>
      <c r="U98" s="1642"/>
      <c r="V98" s="540"/>
      <c r="W98" s="541"/>
      <c r="X98" s="542"/>
      <c r="Y98" s="1027"/>
      <c r="Z98" s="171"/>
      <c r="AA98" s="997"/>
      <c r="AB98" s="997"/>
      <c r="AC98" s="1021"/>
      <c r="AD98" s="1021"/>
      <c r="AE98" s="1021"/>
      <c r="AF98" s="1021"/>
      <c r="AG98" s="1021"/>
      <c r="AH98" s="1007"/>
    </row>
    <row r="99" spans="1:34">
      <c r="C99" s="1029">
        <v>15</v>
      </c>
      <c r="D99" s="564" t="s">
        <v>398</v>
      </c>
      <c r="E99" s="565"/>
      <c r="F99" s="565"/>
      <c r="G99" s="566"/>
      <c r="H99" s="566"/>
      <c r="I99" s="567"/>
      <c r="J99" s="568"/>
      <c r="K99" s="569"/>
      <c r="L99" s="569"/>
      <c r="M99" s="570"/>
      <c r="N99" s="565"/>
      <c r="O99" s="571"/>
      <c r="P99" s="571"/>
      <c r="Q99" s="567"/>
      <c r="R99" s="567"/>
      <c r="S99" s="1685">
        <f>AG87</f>
        <v>0</v>
      </c>
      <c r="T99" s="1685"/>
      <c r="U99" s="572"/>
      <c r="V99" s="1666"/>
      <c r="W99" s="1667"/>
      <c r="X99" s="1668"/>
      <c r="Y99" s="1027"/>
      <c r="Z99" s="171"/>
      <c r="AA99" s="997">
        <f>250000*0.2</f>
        <v>50000</v>
      </c>
      <c r="AB99" s="997"/>
      <c r="AC99" s="1021"/>
      <c r="AD99" s="1021"/>
      <c r="AE99" s="1021"/>
      <c r="AF99" s="1021"/>
      <c r="AG99" s="1021"/>
      <c r="AH99" s="1007"/>
    </row>
    <row r="100" spans="1:34" s="1199" customFormat="1">
      <c r="A100" s="170"/>
      <c r="B100" s="170"/>
      <c r="C100" s="189"/>
      <c r="D100" s="427"/>
      <c r="E100" s="428"/>
      <c r="F100" s="428"/>
      <c r="G100" s="429"/>
      <c r="H100" s="429"/>
      <c r="I100" s="430"/>
      <c r="J100" s="431"/>
      <c r="K100" s="432"/>
      <c r="L100" s="432"/>
      <c r="M100" s="427" t="s">
        <v>405</v>
      </c>
      <c r="N100" s="433"/>
      <c r="O100" s="427"/>
      <c r="P100" s="434"/>
      <c r="Q100" s="430"/>
      <c r="R100" s="430"/>
      <c r="S100" s="431"/>
      <c r="T100" s="432"/>
      <c r="U100" s="435"/>
      <c r="V100" s="1650">
        <f>AG88</f>
        <v>0</v>
      </c>
      <c r="W100" s="1651"/>
      <c r="X100" s="1652"/>
      <c r="Y100" s="1197"/>
      <c r="Z100" s="1197"/>
      <c r="AC100" s="1200"/>
      <c r="AD100" s="1200"/>
      <c r="AE100" s="1200"/>
      <c r="AF100" s="1200"/>
      <c r="AG100" s="1200"/>
      <c r="AH100" s="1201"/>
    </row>
    <row r="101" spans="1:34" s="1199" customFormat="1">
      <c r="A101" s="170"/>
      <c r="B101" s="170"/>
      <c r="C101" s="1656" t="s">
        <v>561</v>
      </c>
      <c r="D101" s="1657"/>
      <c r="E101" s="1657"/>
      <c r="F101" s="1657"/>
      <c r="G101" s="1657"/>
      <c r="H101" s="1657"/>
      <c r="I101" s="1657"/>
      <c r="J101" s="1657"/>
      <c r="K101" s="1657"/>
      <c r="L101" s="1657"/>
      <c r="M101" s="1657"/>
      <c r="N101" s="1657"/>
      <c r="O101" s="1657"/>
      <c r="P101" s="1657"/>
      <c r="Q101" s="1657"/>
      <c r="R101" s="1657"/>
      <c r="S101" s="1657"/>
      <c r="T101" s="1657"/>
      <c r="U101" s="1658"/>
      <c r="V101" s="1653">
        <f>AB97</f>
        <v>0</v>
      </c>
      <c r="W101" s="1654"/>
      <c r="X101" s="1655"/>
      <c r="Y101" s="1197"/>
      <c r="Z101" s="1197"/>
    </row>
    <row r="102" spans="1:34" s="1199" customFormat="1" ht="15" hidden="1" customHeight="1">
      <c r="A102" s="170"/>
      <c r="B102" s="170"/>
      <c r="C102" s="558"/>
      <c r="D102" s="193"/>
      <c r="E102" s="196"/>
      <c r="F102" s="196"/>
      <c r="G102" s="196"/>
      <c r="H102" s="196"/>
      <c r="I102" s="196"/>
      <c r="J102" s="196"/>
      <c r="K102" s="196"/>
      <c r="L102" s="196"/>
      <c r="M102" s="196"/>
      <c r="N102" s="1147"/>
      <c r="O102" s="1147"/>
      <c r="P102" s="1147"/>
      <c r="Q102" s="1147"/>
      <c r="R102" s="1147"/>
      <c r="S102" s="1671"/>
      <c r="T102" s="1672"/>
      <c r="U102" s="1148"/>
      <c r="V102" s="1683"/>
      <c r="W102" s="1659"/>
      <c r="X102" s="1660"/>
      <c r="Y102" s="1197"/>
      <c r="Z102" s="1197"/>
      <c r="AC102" s="1200"/>
      <c r="AD102" s="1200"/>
      <c r="AE102" s="1200"/>
      <c r="AF102" s="1200"/>
      <c r="AG102" s="1200"/>
      <c r="AH102" s="1201"/>
    </row>
    <row r="103" spans="1:34" s="1199" customFormat="1" ht="15" customHeight="1">
      <c r="A103" s="170"/>
      <c r="B103" s="170"/>
      <c r="C103" s="1135">
        <v>16</v>
      </c>
      <c r="D103" s="1136" t="s">
        <v>592</v>
      </c>
      <c r="E103" s="1136"/>
      <c r="F103" s="1136"/>
      <c r="G103" s="1136"/>
      <c r="H103" s="1136"/>
      <c r="I103" s="1136"/>
      <c r="J103" s="1136"/>
      <c r="K103" s="1136"/>
      <c r="L103" s="1136"/>
      <c r="M103" s="1136"/>
      <c r="N103" s="1149"/>
      <c r="O103" s="1149"/>
      <c r="P103" s="1149"/>
      <c r="Q103" s="1149"/>
      <c r="R103" s="1149"/>
      <c r="S103" s="1673"/>
      <c r="T103" s="1674"/>
      <c r="U103" s="1150"/>
      <c r="V103" s="1659">
        <f>V88-(V100+V101)</f>
        <v>68844</v>
      </c>
      <c r="W103" s="1659"/>
      <c r="X103" s="1660"/>
      <c r="Y103" s="1197"/>
      <c r="Z103" s="1197" t="s">
        <v>574</v>
      </c>
      <c r="AB103" s="1199">
        <f>ROUND(V106/12,0)</f>
        <v>5967</v>
      </c>
      <c r="AC103" s="1200"/>
      <c r="AD103" s="1200"/>
      <c r="AE103" s="1200"/>
      <c r="AF103" s="1200"/>
      <c r="AG103" s="1200"/>
      <c r="AH103" s="1201"/>
    </row>
    <row r="104" spans="1:34" s="1199" customFormat="1" ht="15" customHeight="1">
      <c r="A104" s="170"/>
      <c r="B104" s="170"/>
      <c r="C104" s="1133">
        <v>17</v>
      </c>
      <c r="D104" s="910" t="s">
        <v>633</v>
      </c>
      <c r="E104" s="1038"/>
      <c r="F104" s="1038"/>
      <c r="G104" s="1038"/>
      <c r="H104" s="1038"/>
      <c r="I104" s="1038"/>
      <c r="J104" s="1038"/>
      <c r="K104" s="1038"/>
      <c r="L104" s="1038"/>
      <c r="M104" s="1038"/>
      <c r="N104" s="1038"/>
      <c r="O104" s="1038"/>
      <c r="P104" s="1137"/>
      <c r="Q104" s="1151"/>
      <c r="R104" s="1151"/>
      <c r="S104" s="1678">
        <f>ROUND(V103*0.1,0)</f>
        <v>6884</v>
      </c>
      <c r="T104" s="1678"/>
      <c r="U104" s="1144"/>
      <c r="V104" s="1659">
        <f>IF(V88&gt;=5000001,S104,0)</f>
        <v>0</v>
      </c>
      <c r="W104" s="1659"/>
      <c r="X104" s="1660"/>
      <c r="Y104" s="1197"/>
      <c r="Z104" s="1197" t="s">
        <v>575</v>
      </c>
      <c r="AB104" s="1199">
        <f>ROUND(AB109/12,0)</f>
        <v>2750</v>
      </c>
      <c r="AC104" s="1201"/>
      <c r="AD104" s="1201"/>
      <c r="AE104" s="1201"/>
      <c r="AF104" s="1201"/>
      <c r="AG104" s="1201"/>
      <c r="AH104" s="1201"/>
    </row>
    <row r="105" spans="1:34" s="1199" customFormat="1" ht="15" customHeight="1">
      <c r="A105" s="170"/>
      <c r="B105" s="170"/>
      <c r="C105" s="1132">
        <v>18</v>
      </c>
      <c r="D105" s="1037" t="s">
        <v>508</v>
      </c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147"/>
      <c r="R105" s="1147"/>
      <c r="S105" s="1138" t="s">
        <v>593</v>
      </c>
      <c r="T105" s="1138"/>
      <c r="U105" s="1152">
        <f>ROUND((V103)*0.04,0)</f>
        <v>2754</v>
      </c>
      <c r="V105" s="1651">
        <f>U105</f>
        <v>2754</v>
      </c>
      <c r="W105" s="1651"/>
      <c r="X105" s="1652"/>
      <c r="Y105" s="1197"/>
      <c r="Z105" s="1202" t="s">
        <v>578</v>
      </c>
      <c r="AB105" s="1199">
        <f>AB103-AB104</f>
        <v>3217</v>
      </c>
      <c r="AC105" s="1203" t="s">
        <v>392</v>
      </c>
      <c r="AD105" s="1201"/>
      <c r="AE105" s="1201"/>
      <c r="AF105" s="1201"/>
      <c r="AG105" s="1203" t="s">
        <v>391</v>
      </c>
      <c r="AH105" s="1201"/>
    </row>
    <row r="106" spans="1:34" s="1199" customFormat="1" ht="15" customHeight="1">
      <c r="A106" s="170"/>
      <c r="B106" s="170"/>
      <c r="C106" s="1063"/>
      <c r="D106" s="1134" t="s">
        <v>591</v>
      </c>
      <c r="E106" s="1134"/>
      <c r="F106" s="1134"/>
      <c r="G106" s="1134"/>
      <c r="H106" s="1134"/>
      <c r="I106" s="1134"/>
      <c r="J106" s="1134"/>
      <c r="K106" s="1134"/>
      <c r="L106" s="1134"/>
      <c r="M106" s="1134"/>
      <c r="N106" s="1134"/>
      <c r="O106" s="1134"/>
      <c r="P106" s="1134"/>
      <c r="Q106" s="1134"/>
      <c r="R106" s="1134"/>
      <c r="S106" s="1134"/>
      <c r="T106" s="1134"/>
      <c r="U106" s="1064"/>
      <c r="V106" s="1650">
        <f>ROUND(V103+V105+V104,0)</f>
        <v>71598</v>
      </c>
      <c r="W106" s="1651"/>
      <c r="X106" s="1652"/>
      <c r="Y106" s="1197"/>
      <c r="Z106" s="1197" t="s">
        <v>577</v>
      </c>
      <c r="AA106" s="1204">
        <f>IF(AB103&lt;AB104,0,AB105*12)</f>
        <v>38604</v>
      </c>
      <c r="AB106" s="1199">
        <f>ROUND(AA106*1%,0)</f>
        <v>386</v>
      </c>
      <c r="AD106" s="1201"/>
      <c r="AE106" s="1201"/>
      <c r="AF106" s="1201"/>
      <c r="AG106" s="1201"/>
      <c r="AH106" s="1201"/>
    </row>
    <row r="107" spans="1:34" s="1199" customFormat="1" ht="15" customHeight="1">
      <c r="A107" s="170"/>
      <c r="B107" s="170"/>
      <c r="C107" s="1154">
        <v>19</v>
      </c>
      <c r="D107" s="1680" t="str">
        <f>CONCATENATE('Other than Salary Income'!C130)</f>
        <v xml:space="preserve">Less : Relief U/s 89 [Attach Details Form 10 E]  </v>
      </c>
      <c r="E107" s="1681"/>
      <c r="F107" s="1681"/>
      <c r="G107" s="1681"/>
      <c r="H107" s="1681"/>
      <c r="I107" s="1681"/>
      <c r="J107" s="1681"/>
      <c r="K107" s="1681"/>
      <c r="L107" s="1681"/>
      <c r="M107" s="1681"/>
      <c r="N107" s="1134"/>
      <c r="O107" s="1134"/>
      <c r="P107" s="1134"/>
      <c r="Q107" s="1134"/>
      <c r="R107" s="1134"/>
      <c r="S107" s="1675"/>
      <c r="T107" s="1675"/>
      <c r="U107" s="1064"/>
      <c r="V107" s="1650">
        <f>'Investment - Deduction'!U120</f>
        <v>18189</v>
      </c>
      <c r="W107" s="1651"/>
      <c r="X107" s="1652"/>
      <c r="Y107" s="1197"/>
      <c r="Z107" s="1197"/>
      <c r="AA107" s="1204"/>
      <c r="AD107" s="1201"/>
      <c r="AE107" s="1201"/>
      <c r="AF107" s="1201"/>
      <c r="AG107" s="1201"/>
      <c r="AH107" s="1201"/>
    </row>
    <row r="108" spans="1:34" s="1199" customFormat="1" ht="15" customHeight="1">
      <c r="A108" s="170"/>
      <c r="B108" s="170"/>
      <c r="C108" s="1154">
        <v>20</v>
      </c>
      <c r="D108" s="1037" t="s">
        <v>635</v>
      </c>
      <c r="E108" s="1153"/>
      <c r="F108" s="1153"/>
      <c r="G108" s="1153"/>
      <c r="H108" s="1153"/>
      <c r="I108" s="1153"/>
      <c r="J108" s="1153"/>
      <c r="K108" s="1153"/>
      <c r="L108" s="1153"/>
      <c r="M108" s="1153"/>
      <c r="N108" s="1134"/>
      <c r="O108" s="1134"/>
      <c r="P108" s="1134"/>
      <c r="Q108" s="1134"/>
      <c r="R108" s="1134"/>
      <c r="S108" s="1679">
        <f>IF(V107&gt;=V106,0,V106-V107)</f>
        <v>53409</v>
      </c>
      <c r="T108" s="1679"/>
      <c r="U108" s="1064"/>
      <c r="V108" s="1650">
        <f>ROUND(S108,-1)</f>
        <v>53410</v>
      </c>
      <c r="W108" s="1651"/>
      <c r="X108" s="1652"/>
      <c r="Y108" s="1197"/>
      <c r="Z108" s="1197"/>
      <c r="AA108" s="1204"/>
      <c r="AD108" s="1201"/>
      <c r="AE108" s="1201"/>
      <c r="AF108" s="1201"/>
      <c r="AG108" s="1201"/>
      <c r="AH108" s="1201"/>
    </row>
    <row r="109" spans="1:34" s="1199" customFormat="1" ht="15" customHeight="1">
      <c r="A109" s="170"/>
      <c r="B109" s="170"/>
      <c r="C109" s="1065">
        <v>21</v>
      </c>
      <c r="D109" s="1037" t="str">
        <f>CONCATENATE("Tax Paid up to ","November")</f>
        <v>Tax Paid up to November</v>
      </c>
      <c r="E109" s="858"/>
      <c r="F109" s="858"/>
      <c r="G109" s="858"/>
      <c r="H109" s="858"/>
      <c r="I109" s="858"/>
      <c r="J109" s="1682">
        <f>U4</f>
        <v>44256</v>
      </c>
      <c r="K109" s="1682"/>
      <c r="L109" s="194"/>
      <c r="M109" s="1060"/>
      <c r="N109" s="1060"/>
      <c r="O109" s="1060"/>
      <c r="P109" s="1060"/>
      <c r="Q109" s="1060"/>
      <c r="R109" s="1060"/>
      <c r="S109" s="1060"/>
      <c r="T109" s="1060"/>
      <c r="U109" s="1066"/>
      <c r="V109" s="1650">
        <f>SUM('Other than Salary Income'!W11:W19)</f>
        <v>27000</v>
      </c>
      <c r="W109" s="1651"/>
      <c r="X109" s="1652"/>
      <c r="Y109" s="1197"/>
      <c r="Z109" s="1197" t="s">
        <v>576</v>
      </c>
      <c r="AB109" s="1199">
        <f>SUM(V109:X111)</f>
        <v>33000</v>
      </c>
      <c r="AD109" s="1201"/>
      <c r="AE109" s="1201"/>
      <c r="AF109" s="1201"/>
      <c r="AG109" s="1201"/>
      <c r="AH109" s="1201"/>
    </row>
    <row r="110" spans="1:34" s="1199" customFormat="1" ht="15" customHeight="1">
      <c r="A110" s="170"/>
      <c r="B110" s="170"/>
      <c r="C110" s="1067"/>
      <c r="D110" s="1037" t="str">
        <f>CONCATENATE("Tax to be deducted in ","December")</f>
        <v>Tax to be deducted in December</v>
      </c>
      <c r="E110" s="196"/>
      <c r="F110" s="196"/>
      <c r="G110" s="196"/>
      <c r="H110" s="196"/>
      <c r="I110" s="197"/>
      <c r="J110" s="1069"/>
      <c r="K110" s="1682">
        <f>U4</f>
        <v>44256</v>
      </c>
      <c r="L110" s="1682"/>
      <c r="M110" s="195"/>
      <c r="N110" s="196"/>
      <c r="O110" s="196"/>
      <c r="P110" s="196"/>
      <c r="Q110" s="196"/>
      <c r="R110" s="196"/>
      <c r="S110" s="196"/>
      <c r="T110" s="196"/>
      <c r="U110" s="1061"/>
      <c r="V110" s="1650">
        <f>'Other than Salary Income'!W20</f>
        <v>3000</v>
      </c>
      <c r="W110" s="1651"/>
      <c r="X110" s="1652"/>
      <c r="Y110" s="1197"/>
      <c r="Z110" s="1204"/>
      <c r="AD110" s="1201"/>
      <c r="AE110" s="1201"/>
      <c r="AF110" s="1201"/>
      <c r="AG110" s="1201"/>
      <c r="AH110" s="1201"/>
    </row>
    <row r="111" spans="1:34" s="1199" customFormat="1" ht="15" customHeight="1">
      <c r="A111" s="170"/>
      <c r="B111" s="170"/>
      <c r="C111" s="558"/>
      <c r="D111" s="1037" t="str">
        <f>CONCATENATE("Tax to be deducted in ","January")</f>
        <v>Tax to be deducted in January</v>
      </c>
      <c r="E111" s="196"/>
      <c r="F111" s="196"/>
      <c r="G111" s="196"/>
      <c r="H111" s="196"/>
      <c r="I111" s="197"/>
      <c r="J111" s="1069"/>
      <c r="K111" s="1682">
        <f>W4</f>
        <v>44562</v>
      </c>
      <c r="L111" s="1682"/>
      <c r="M111" s="195"/>
      <c r="N111" s="196"/>
      <c r="O111" s="196"/>
      <c r="P111" s="196"/>
      <c r="Q111" s="196"/>
      <c r="R111" s="196"/>
      <c r="S111" s="196"/>
      <c r="T111" s="196"/>
      <c r="U111" s="1061"/>
      <c r="V111" s="1650">
        <f>'Other than Salary Income'!W21</f>
        <v>3000</v>
      </c>
      <c r="W111" s="1651"/>
      <c r="X111" s="1652"/>
      <c r="Y111" s="1197"/>
      <c r="Z111" s="1197"/>
      <c r="AD111" s="1205"/>
      <c r="AE111" s="1205"/>
      <c r="AF111" s="1205"/>
      <c r="AG111" s="1205"/>
      <c r="AH111" s="1205"/>
    </row>
    <row r="112" spans="1:34" ht="15" customHeight="1">
      <c r="C112" s="1065">
        <v>22</v>
      </c>
      <c r="D112" s="1691" t="s">
        <v>583</v>
      </c>
      <c r="E112" s="1692"/>
      <c r="F112" s="1692"/>
      <c r="G112" s="1692"/>
      <c r="H112" s="1692"/>
      <c r="I112" s="1692"/>
      <c r="J112" s="1692"/>
      <c r="K112" s="1692"/>
      <c r="L112" s="1692"/>
      <c r="M112" s="1692"/>
      <c r="N112" s="1692"/>
      <c r="O112" s="1692"/>
      <c r="P112" s="1692"/>
      <c r="Q112" s="1692"/>
      <c r="R112" s="1692"/>
      <c r="S112" s="1692"/>
      <c r="T112" s="1692"/>
      <c r="U112" s="1693"/>
      <c r="V112" s="1650">
        <f>V109+V110+V111</f>
        <v>33000</v>
      </c>
      <c r="W112" s="1651"/>
      <c r="X112" s="1652"/>
      <c r="Y112" s="1027"/>
      <c r="Z112" s="171"/>
      <c r="AA112" s="997"/>
      <c r="AD112" s="1025" t="s">
        <v>390</v>
      </c>
      <c r="AE112" s="1007"/>
      <c r="AF112" s="1007"/>
      <c r="AG112" s="1007"/>
      <c r="AH112" s="1007"/>
    </row>
    <row r="113" spans="1:34" ht="15" customHeight="1">
      <c r="C113" s="1067"/>
      <c r="D113" s="1037" t="s">
        <v>579</v>
      </c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152">
        <f>AB106</f>
        <v>386</v>
      </c>
      <c r="V113" s="1663">
        <f>IF(Y113="yes",AB106,0)</f>
        <v>0</v>
      </c>
      <c r="W113" s="1664"/>
      <c r="X113" s="1665"/>
      <c r="Y113" s="1023" t="s">
        <v>442</v>
      </c>
      <c r="Z113" s="171"/>
      <c r="AA113" s="997"/>
      <c r="AB113" s="997"/>
      <c r="AC113" s="1007"/>
      <c r="AD113" s="1007">
        <v>0</v>
      </c>
      <c r="AE113" s="1007"/>
      <c r="AF113" s="1007"/>
      <c r="AG113" s="1007" t="s">
        <v>141</v>
      </c>
      <c r="AH113" s="1007"/>
    </row>
    <row r="114" spans="1:34" s="1199" customFormat="1" ht="15" customHeight="1">
      <c r="A114" s="170"/>
      <c r="B114" s="170"/>
      <c r="C114" s="1065">
        <v>23</v>
      </c>
      <c r="D114" s="1037" t="s">
        <v>584</v>
      </c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650">
        <f>V108+V113</f>
        <v>53410</v>
      </c>
      <c r="W114" s="1651"/>
      <c r="X114" s="1652"/>
      <c r="Y114" s="1197"/>
      <c r="Z114" s="1197"/>
      <c r="AC114" s="1201" t="s">
        <v>389</v>
      </c>
      <c r="AD114" s="1201">
        <v>250000</v>
      </c>
      <c r="AE114" s="1201"/>
      <c r="AF114" s="1201"/>
      <c r="AG114" s="1201">
        <f>IF(AG85&gt;1000000,(((AG85-1000000)*0.3)+112500),IF(AG85&gt;500000,(((AG85-500000)*0.2)+12500),IF(AG85&gt;250000,((AG85-250000)*0.05),0)))</f>
        <v>68844.600000000006</v>
      </c>
      <c r="AH114" s="1201">
        <f>IF(AG87&gt;1000000,(((AG87-1000000)*0.3)+112500),IF(AG87&gt;500000,(((AG87-500000)*0.2)+12500),IF(AG87&gt;250000,((AG87-250000)*0.05),0)))</f>
        <v>0</v>
      </c>
    </row>
    <row r="115" spans="1:34" s="1199" customFormat="1" ht="15" customHeight="1">
      <c r="A115" s="170"/>
      <c r="B115" s="170"/>
      <c r="C115" s="1065"/>
      <c r="D115" s="1037" t="s">
        <v>642</v>
      </c>
      <c r="E115" s="196"/>
      <c r="F115" s="196"/>
      <c r="G115" s="196"/>
      <c r="H115" s="196"/>
      <c r="I115" s="196"/>
      <c r="J115" s="196"/>
      <c r="K115" s="196"/>
      <c r="L115" s="196"/>
      <c r="M115" s="196"/>
      <c r="N115" s="196"/>
      <c r="O115" s="196"/>
      <c r="P115" s="196"/>
      <c r="Q115" s="196"/>
      <c r="R115" s="1676"/>
      <c r="S115" s="1676"/>
      <c r="T115" s="1676"/>
      <c r="U115" s="1677"/>
      <c r="V115" s="1650">
        <f>V114-V112</f>
        <v>20410</v>
      </c>
      <c r="W115" s="1651"/>
      <c r="X115" s="1652"/>
      <c r="Y115" s="1197"/>
      <c r="Z115" s="1197" t="s">
        <v>441</v>
      </c>
      <c r="AC115" s="1201"/>
      <c r="AD115" s="1201"/>
      <c r="AE115" s="1201"/>
      <c r="AF115" s="1201"/>
      <c r="AG115" s="1201"/>
      <c r="AH115" s="1201"/>
    </row>
    <row r="116" spans="1:34" s="1199" customFormat="1" ht="15" customHeight="1">
      <c r="A116" s="170"/>
      <c r="B116" s="170"/>
      <c r="C116" s="1065">
        <v>24</v>
      </c>
      <c r="D116" s="193" t="str">
        <f>CONCATENATE("Tax to be deducted in ","February")</f>
        <v>Tax to be deducted in February</v>
      </c>
      <c r="E116" s="196"/>
      <c r="F116" s="196"/>
      <c r="G116" s="196"/>
      <c r="H116" s="196"/>
      <c r="I116" s="197"/>
      <c r="J116" s="197"/>
      <c r="K116" s="1690">
        <f>W4</f>
        <v>44562</v>
      </c>
      <c r="L116" s="1690"/>
      <c r="M116" s="195"/>
      <c r="N116" s="196"/>
      <c r="O116" s="196"/>
      <c r="P116" s="196"/>
      <c r="Q116" s="196"/>
      <c r="R116" s="196"/>
      <c r="S116" s="196"/>
      <c r="T116" s="196"/>
      <c r="U116" s="1061"/>
      <c r="V116" s="1650">
        <f>SUM('Other than Salary Income'!W22:'Other than Salary Income'!W31)</f>
        <v>0</v>
      </c>
      <c r="W116" s="1651"/>
      <c r="X116" s="1652"/>
      <c r="Y116" s="1197"/>
      <c r="Z116" s="1197"/>
      <c r="AC116" s="1201"/>
      <c r="AD116" s="1201"/>
      <c r="AE116" s="1201"/>
      <c r="AF116" s="1201"/>
      <c r="AG116" s="1201"/>
      <c r="AH116" s="1201"/>
    </row>
    <row r="117" spans="1:34" s="1199" customFormat="1" ht="15" customHeight="1">
      <c r="A117" s="170"/>
      <c r="B117" s="170"/>
      <c r="C117" s="1065">
        <v>25</v>
      </c>
      <c r="D117" s="1183" t="s">
        <v>651</v>
      </c>
      <c r="E117" s="1186"/>
      <c r="F117" s="1186"/>
      <c r="G117" s="1186"/>
      <c r="H117" s="1186"/>
      <c r="I117" s="197"/>
      <c r="J117" s="1190"/>
      <c r="K117" s="1191"/>
      <c r="L117" s="1190"/>
      <c r="M117" s="1191"/>
      <c r="N117" s="1190"/>
      <c r="O117" s="1192" t="s">
        <v>652</v>
      </c>
      <c r="P117" s="1696">
        <v>12345</v>
      </c>
      <c r="Q117" s="1696"/>
      <c r="R117" s="1193" t="s">
        <v>65</v>
      </c>
      <c r="S117" s="1697">
        <v>44624</v>
      </c>
      <c r="T117" s="1696"/>
      <c r="U117" s="1698"/>
      <c r="V117" s="1699">
        <v>0</v>
      </c>
      <c r="W117" s="1700"/>
      <c r="X117" s="1701"/>
      <c r="Y117" s="1176"/>
      <c r="Z117" s="1197"/>
      <c r="AC117" s="1201"/>
      <c r="AD117" s="1201"/>
      <c r="AE117" s="1201"/>
      <c r="AF117" s="1201"/>
      <c r="AG117" s="1201"/>
      <c r="AH117" s="1201"/>
    </row>
    <row r="118" spans="1:34" s="1199" customFormat="1" ht="15" customHeight="1">
      <c r="A118" s="170"/>
      <c r="B118" s="170"/>
      <c r="C118" s="1065">
        <v>26</v>
      </c>
      <c r="D118" s="1207" t="s">
        <v>653</v>
      </c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669" t="str">
        <f>IF(AND(V118=0)," ",IF(V118&lt;0,"Refundable","Payble"))</f>
        <v>Payble</v>
      </c>
      <c r="S118" s="1669"/>
      <c r="T118" s="1669"/>
      <c r="U118" s="1670"/>
      <c r="V118" s="1650">
        <f>IF(S119&lt;0,S119-V117,S119-V117)</f>
        <v>20410</v>
      </c>
      <c r="W118" s="1651"/>
      <c r="X118" s="1652"/>
      <c r="Y118" s="1197"/>
      <c r="Z118" s="1197" t="s">
        <v>442</v>
      </c>
      <c r="AC118" s="1201" t="s">
        <v>388</v>
      </c>
      <c r="AD118" s="1201">
        <v>250000</v>
      </c>
      <c r="AE118" s="1201"/>
      <c r="AF118" s="1201"/>
      <c r="AG118" s="1201">
        <f>IF(AG85&gt;1000000,(((AG85-1000000)*0.3)+112500),IF(AG85&gt;500000,(((AG85-500000)*0.2)+12500),IF(AG85&gt;250000,((AG85-250000)*0.05),0)))</f>
        <v>68844.600000000006</v>
      </c>
      <c r="AH118" s="1201">
        <f>IF(AG87&gt;1000000,(((AG87-1000000)*0.3)+112500),IF(AG87&gt;500000,(((AG87-500000)*0.2)+12500),IF(AG87&gt;250000,((AG87-250000)*0.05),0)))</f>
        <v>0</v>
      </c>
    </row>
    <row r="119" spans="1:34" s="1199" customFormat="1" ht="15" customHeight="1">
      <c r="A119" s="170"/>
      <c r="B119" s="170"/>
      <c r="C119" s="198"/>
      <c r="D119" s="199"/>
      <c r="E119" s="199"/>
      <c r="F119" s="199"/>
      <c r="G119" s="199"/>
      <c r="H119" s="199"/>
      <c r="I119" s="199"/>
      <c r="J119" s="199"/>
      <c r="K119" s="199"/>
      <c r="L119" s="199"/>
      <c r="M119" s="199"/>
      <c r="N119" s="199"/>
      <c r="O119" s="1188"/>
      <c r="P119" s="1188"/>
      <c r="Q119" s="1188"/>
      <c r="R119" s="1206"/>
      <c r="S119" s="1702">
        <f>ROUND((V114)-(V112+V116),-1)</f>
        <v>20410</v>
      </c>
      <c r="T119" s="1702"/>
      <c r="U119" s="1702"/>
      <c r="V119" s="1206"/>
      <c r="W119" s="1206"/>
      <c r="X119" s="1206"/>
      <c r="Y119" s="1188"/>
      <c r="Z119" s="1197"/>
      <c r="AC119" s="1201" t="s">
        <v>387</v>
      </c>
      <c r="AD119" s="1201">
        <v>300000</v>
      </c>
      <c r="AE119" s="1201"/>
      <c r="AF119" s="1201"/>
      <c r="AG119" s="1201">
        <f>IF(AG85&gt;1000000,(((AG85-1000000)*0.3)+110000),IF(AG85&gt;500000,(((AG85-500000)*0.2)+10000),IF(AG85&gt;300000,((AG85-300000)*0.1),0)))</f>
        <v>66344.600000000006</v>
      </c>
      <c r="AH119" s="1201">
        <f>IF(AG87&gt;1000000,(((AG87-1000000)*0.3)+110000),IF(AG87&gt;500000,(((AG87-500000)*0.2)+10000),IF(AG87&gt;300000,((AG87-300000)*0.05),0)))</f>
        <v>0</v>
      </c>
    </row>
    <row r="120" spans="1:34" s="1199" customFormat="1" ht="15" customHeight="1">
      <c r="A120" s="170"/>
      <c r="B120" s="170"/>
      <c r="C120" s="200"/>
      <c r="D120" s="1000" t="s">
        <v>64</v>
      </c>
      <c r="E120" s="1073" t="s">
        <v>159</v>
      </c>
      <c r="F120" s="1000" t="str">
        <f>'Master Deails'!B26</f>
        <v>AHWA</v>
      </c>
      <c r="G120" s="1000"/>
      <c r="H120" s="1000"/>
      <c r="I120" s="1000"/>
      <c r="J120" s="1000"/>
      <c r="K120" s="1000"/>
      <c r="L120" s="1000"/>
      <c r="M120" s="1000"/>
      <c r="N120" s="1000"/>
      <c r="O120" s="1184"/>
      <c r="P120" s="1184"/>
      <c r="Q120" s="1184"/>
      <c r="R120" s="1194"/>
      <c r="S120" s="1185"/>
      <c r="T120" s="1185"/>
      <c r="U120" s="1185"/>
      <c r="V120" s="1661"/>
      <c r="W120" s="1662"/>
      <c r="X120" s="1662"/>
      <c r="Y120" s="1184"/>
      <c r="Z120" s="1197"/>
    </row>
    <row r="121" spans="1:34" ht="15" customHeight="1">
      <c r="C121" s="200"/>
      <c r="D121" s="1000" t="s">
        <v>65</v>
      </c>
      <c r="E121" s="1073" t="s">
        <v>160</v>
      </c>
      <c r="F121" s="1688">
        <f ca="1">TODAY()</f>
        <v>44729</v>
      </c>
      <c r="G121" s="1688"/>
      <c r="H121" s="1688"/>
      <c r="I121" s="1688"/>
      <c r="J121" s="1000"/>
      <c r="K121" s="1000"/>
      <c r="L121" s="1000"/>
      <c r="M121" s="1000"/>
      <c r="N121" s="1000"/>
      <c r="O121" s="1000"/>
      <c r="P121" s="1000"/>
      <c r="Q121" s="1000"/>
      <c r="R121" s="1000"/>
      <c r="S121" s="1000"/>
      <c r="T121" s="1000"/>
      <c r="U121" s="1074"/>
      <c r="V121" s="1694"/>
      <c r="W121" s="1695"/>
      <c r="X121" s="1695"/>
      <c r="Y121" s="1000"/>
      <c r="Z121" s="171"/>
      <c r="AA121" s="997"/>
      <c r="AB121" s="997"/>
      <c r="AC121" s="1007" t="s">
        <v>386</v>
      </c>
      <c r="AD121" s="1007">
        <v>500000</v>
      </c>
      <c r="AE121" s="997"/>
      <c r="AF121" s="997"/>
      <c r="AG121" s="997"/>
      <c r="AH121" s="997"/>
    </row>
    <row r="122" spans="1:34" ht="15" customHeight="1">
      <c r="C122" s="200"/>
      <c r="D122" s="1000"/>
      <c r="E122" s="1000"/>
      <c r="F122" s="1687"/>
      <c r="G122" s="1687"/>
      <c r="H122" s="1687"/>
      <c r="I122" s="1687"/>
      <c r="J122" s="1000"/>
      <c r="K122" s="1000"/>
      <c r="L122" s="1000"/>
      <c r="M122" s="1000"/>
      <c r="N122" s="1000"/>
      <c r="O122" s="1000"/>
      <c r="P122" s="1000"/>
      <c r="Q122" s="1000"/>
      <c r="R122" s="1000"/>
      <c r="S122" s="1000"/>
      <c r="T122" s="1000"/>
      <c r="U122" s="1074"/>
      <c r="V122" s="1074"/>
      <c r="W122" s="1074"/>
      <c r="X122" s="1074"/>
      <c r="Y122" s="1000"/>
      <c r="Z122" s="171"/>
      <c r="AA122" s="997"/>
      <c r="AB122" s="997"/>
      <c r="AC122" s="997"/>
      <c r="AD122" s="997"/>
      <c r="AE122" s="1007"/>
      <c r="AF122" s="1007"/>
      <c r="AG122" s="1007">
        <f>IF(AG85&gt;1000000,(((AG85-1000000)*0.3)+100000),IF(AG85&gt;500000,(((AG85-500000)*0.2)),0))</f>
        <v>56344.600000000006</v>
      </c>
      <c r="AH122" s="1007">
        <f>IF(AG87&gt;1000000,(((AG87-1000000)*0.3)+100000),IF(AG87&gt;500000,(((AG87-500000)*0.2)),0))</f>
        <v>0</v>
      </c>
    </row>
    <row r="123" spans="1:34" ht="15" customHeight="1">
      <c r="C123" s="200"/>
      <c r="D123" s="1075" t="s">
        <v>78</v>
      </c>
      <c r="E123" s="1075"/>
      <c r="F123" s="1075"/>
      <c r="G123" s="1689"/>
      <c r="H123" s="1689"/>
      <c r="I123" s="1689"/>
      <c r="J123" s="1689"/>
      <c r="K123" s="1689"/>
      <c r="L123" s="1075"/>
      <c r="M123" s="1075"/>
      <c r="N123" s="1075"/>
      <c r="O123" s="1075"/>
      <c r="P123" s="1075"/>
      <c r="Q123" s="1075"/>
      <c r="R123" s="1076" t="str">
        <f>'Master Deails'!H24</f>
        <v xml:space="preserve">Account Officer </v>
      </c>
      <c r="S123" s="1000"/>
      <c r="T123" s="1000"/>
      <c r="U123" s="1074"/>
      <c r="V123" s="1074"/>
      <c r="W123" s="1074"/>
      <c r="X123" s="1074"/>
      <c r="Y123" s="1000"/>
      <c r="Z123" s="171"/>
      <c r="AA123" s="997"/>
      <c r="AB123" s="997"/>
      <c r="AC123" s="1007"/>
      <c r="AD123" s="1007"/>
      <c r="AE123" s="1007"/>
      <c r="AF123" s="1007"/>
      <c r="AG123" s="1007"/>
      <c r="AH123" s="1007"/>
    </row>
    <row r="124" spans="1:34" ht="15" customHeight="1">
      <c r="C124" s="200"/>
      <c r="D124" s="1075" t="s">
        <v>63</v>
      </c>
      <c r="E124" s="1075"/>
      <c r="F124" s="1662" t="str">
        <f>'Master Deails'!A7</f>
        <v>SHRI K J PATEL</v>
      </c>
      <c r="G124" s="1662"/>
      <c r="H124" s="1662"/>
      <c r="I124" s="1662"/>
      <c r="J124" s="1662"/>
      <c r="K124" s="1662"/>
      <c r="L124" s="1075"/>
      <c r="M124" s="1075"/>
      <c r="N124" s="1075"/>
      <c r="O124" s="1075"/>
      <c r="P124" s="1075"/>
      <c r="Q124" s="1075"/>
      <c r="R124" s="1076" t="str">
        <f>'Master Deails'!H25</f>
        <v>Dangs District Panchayat Ahwa</v>
      </c>
      <c r="S124" s="1000"/>
      <c r="T124" s="1000"/>
      <c r="U124" s="1074"/>
      <c r="V124" s="1074"/>
      <c r="W124" s="1074"/>
      <c r="X124" s="1074"/>
      <c r="Y124" s="1000"/>
      <c r="Z124" s="171"/>
      <c r="AA124" s="997"/>
      <c r="AB124" s="997"/>
      <c r="AC124" s="1007"/>
      <c r="AD124" s="1007"/>
      <c r="AE124" s="1024">
        <f>IF(AD85="GENERAL",(AD87-AD114),IF(AD85="GENERAL",AD87-AD118,IF(AD85="SENIOR CITIZEN",AD87-AD119,IF(AD85="Very Senior Citizen &gt; 80 years",AD87-AD121,"Please Select Status"))))</f>
        <v>526723</v>
      </c>
      <c r="AF124" s="1007"/>
      <c r="AG124" s="1007"/>
      <c r="AH124" s="1007"/>
    </row>
    <row r="125" spans="1:34" ht="15" customHeight="1">
      <c r="C125" s="200"/>
      <c r="D125" s="1075" t="s">
        <v>93</v>
      </c>
      <c r="E125" s="1075"/>
      <c r="F125" s="1075"/>
      <c r="G125" s="1686" t="str">
        <f>'Master Deails'!A18</f>
        <v>RETIRED PS 2 DDO DANGS</v>
      </c>
      <c r="H125" s="1686"/>
      <c r="I125" s="1686"/>
      <c r="J125" s="1686"/>
      <c r="K125" s="1686"/>
      <c r="L125" s="1075"/>
      <c r="M125" s="1075"/>
      <c r="N125" s="1075"/>
      <c r="O125" s="1075"/>
      <c r="P125" s="1075"/>
      <c r="Q125" s="1075"/>
      <c r="R125" s="1077" t="str">
        <f>'Master Deails'!H26</f>
        <v>Ahwa</v>
      </c>
      <c r="S125" s="1000"/>
      <c r="T125" s="1000"/>
      <c r="U125" s="1074"/>
      <c r="V125" s="1074"/>
      <c r="W125" s="1074"/>
      <c r="X125" s="1074"/>
      <c r="Y125" s="1000"/>
      <c r="Z125" s="171"/>
      <c r="AA125" s="997"/>
      <c r="AB125" s="997"/>
      <c r="AC125" s="1007"/>
      <c r="AD125" s="1007"/>
      <c r="AE125" s="1007"/>
      <c r="AF125" s="1007"/>
      <c r="AG125" s="1007"/>
      <c r="AH125" s="1007"/>
    </row>
    <row r="126" spans="1:34" ht="15" customHeight="1">
      <c r="C126" s="200"/>
      <c r="D126" s="1000"/>
      <c r="E126" s="1000"/>
      <c r="F126" s="1000"/>
      <c r="G126" s="1000"/>
      <c r="H126" s="1000"/>
      <c r="I126" s="1000"/>
      <c r="J126" s="1000"/>
      <c r="K126" s="1000"/>
      <c r="L126" s="1000"/>
      <c r="M126" s="1000"/>
      <c r="N126" s="1000"/>
      <c r="O126" s="1000"/>
      <c r="P126" s="1000"/>
      <c r="Q126" s="1000"/>
      <c r="R126" s="557"/>
      <c r="S126" s="1000"/>
      <c r="T126" s="1000"/>
      <c r="U126" s="1074"/>
      <c r="V126" s="1074"/>
      <c r="W126" s="1074"/>
      <c r="X126" s="1074"/>
      <c r="Y126" s="557"/>
      <c r="AC126" s="426"/>
      <c r="AD126" s="426"/>
      <c r="AE126" s="426"/>
      <c r="AF126" s="426"/>
      <c r="AG126" s="426"/>
      <c r="AH126" s="426"/>
    </row>
    <row r="127" spans="1:34" hidden="1">
      <c r="C127" s="200"/>
      <c r="J127" s="171"/>
      <c r="K127" s="171"/>
      <c r="L127" s="171"/>
      <c r="M127" s="171"/>
      <c r="N127" s="171"/>
      <c r="O127" s="171"/>
      <c r="P127" s="171"/>
      <c r="Q127" s="171"/>
      <c r="R127" s="200"/>
      <c r="S127" s="171"/>
      <c r="T127" s="171"/>
      <c r="U127" s="199"/>
      <c r="V127" s="199"/>
      <c r="W127" s="199"/>
      <c r="X127" s="199"/>
    </row>
    <row r="128" spans="1:34" hidden="1">
      <c r="C128" s="200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99"/>
      <c r="V128" s="199"/>
      <c r="W128" s="199"/>
      <c r="X128" s="199"/>
    </row>
    <row r="129" spans="3:24" ht="19.5" hidden="1" customHeight="1">
      <c r="C129" s="199"/>
      <c r="D129" s="199"/>
      <c r="E129" s="199"/>
      <c r="F129" s="199"/>
      <c r="G129" s="199"/>
      <c r="H129" s="199"/>
      <c r="I129" s="199"/>
      <c r="J129" s="199"/>
      <c r="K129" s="199"/>
      <c r="L129" s="199"/>
      <c r="M129" s="199"/>
      <c r="N129" s="199"/>
      <c r="O129" s="199"/>
      <c r="P129" s="199"/>
      <c r="Q129" s="199"/>
      <c r="R129" s="199"/>
      <c r="S129" s="199"/>
      <c r="T129" s="199"/>
      <c r="U129" s="199"/>
      <c r="V129" s="199"/>
      <c r="W129" s="199"/>
      <c r="X129" s="199"/>
    </row>
    <row r="130" spans="3:24" hidden="1">
      <c r="C130" s="199"/>
      <c r="D130" s="199"/>
      <c r="E130" s="199"/>
      <c r="F130" s="199"/>
      <c r="G130" s="199"/>
      <c r="H130" s="199"/>
      <c r="I130" s="199"/>
      <c r="J130" s="199"/>
      <c r="K130" s="199"/>
      <c r="L130" s="199"/>
      <c r="M130" s="199"/>
      <c r="N130" s="199"/>
      <c r="O130" s="199"/>
      <c r="P130" s="199"/>
      <c r="Q130" s="199"/>
      <c r="R130" s="199"/>
      <c r="S130" s="199"/>
      <c r="T130" s="199"/>
      <c r="U130" s="199"/>
      <c r="V130" s="199"/>
      <c r="W130" s="199"/>
      <c r="X130" s="199"/>
    </row>
    <row r="131" spans="3:24" hidden="1">
      <c r="C131" s="199"/>
      <c r="D131" s="199"/>
      <c r="E131" s="199"/>
      <c r="F131" s="199"/>
      <c r="G131" s="199"/>
      <c r="H131" s="199"/>
      <c r="I131" s="199"/>
      <c r="J131" s="199"/>
      <c r="K131" s="199"/>
      <c r="L131" s="199"/>
      <c r="M131" s="199"/>
      <c r="N131" s="199"/>
      <c r="O131" s="199"/>
      <c r="P131" s="199"/>
      <c r="Q131" s="199"/>
      <c r="R131" s="199"/>
      <c r="S131" s="199"/>
      <c r="T131" s="199"/>
      <c r="U131" s="199"/>
      <c r="V131" s="199"/>
      <c r="W131" s="199"/>
      <c r="X131" s="199"/>
    </row>
    <row r="132" spans="3:24" hidden="1">
      <c r="C132" s="199"/>
      <c r="D132" s="199"/>
      <c r="E132" s="199"/>
      <c r="F132" s="199"/>
      <c r="G132" s="199"/>
      <c r="H132" s="199"/>
      <c r="I132" s="199"/>
      <c r="J132" s="199"/>
      <c r="K132" s="199"/>
      <c r="L132" s="199"/>
      <c r="M132" s="199"/>
      <c r="N132" s="199"/>
      <c r="O132" s="199"/>
      <c r="P132" s="199"/>
      <c r="Q132" s="199"/>
      <c r="R132" s="199"/>
      <c r="S132" s="199"/>
      <c r="T132" s="199"/>
      <c r="U132" s="199"/>
      <c r="V132" s="199"/>
      <c r="W132" s="199"/>
      <c r="X132" s="199"/>
    </row>
    <row r="133" spans="3:24" hidden="1">
      <c r="C133" s="199"/>
      <c r="D133" s="199"/>
      <c r="E133" s="199"/>
      <c r="F133" s="199"/>
      <c r="G133" s="199"/>
      <c r="H133" s="199"/>
      <c r="I133" s="199"/>
      <c r="J133" s="199"/>
      <c r="K133" s="199"/>
      <c r="L133" s="199"/>
      <c r="M133" s="199"/>
      <c r="N133" s="199"/>
      <c r="O133" s="199"/>
      <c r="P133" s="199"/>
      <c r="Q133" s="199"/>
      <c r="R133" s="199"/>
      <c r="S133" s="199"/>
      <c r="T133" s="199"/>
      <c r="U133" s="199"/>
      <c r="V133" s="199"/>
      <c r="W133" s="199"/>
      <c r="X133" s="199"/>
    </row>
    <row r="134" spans="3:24" hidden="1">
      <c r="C134" s="199"/>
      <c r="D134" s="199"/>
      <c r="E134" s="199"/>
      <c r="F134" s="199"/>
      <c r="G134" s="199"/>
      <c r="H134" s="199"/>
      <c r="I134" s="199"/>
      <c r="J134" s="199"/>
      <c r="K134" s="199"/>
      <c r="L134" s="199"/>
      <c r="M134" s="199"/>
      <c r="N134" s="199"/>
      <c r="O134" s="199"/>
      <c r="P134" s="199"/>
      <c r="Q134" s="199"/>
      <c r="R134" s="199"/>
      <c r="S134" s="199"/>
      <c r="T134" s="199"/>
      <c r="U134" s="199"/>
      <c r="V134" s="199"/>
      <c r="W134" s="199"/>
      <c r="X134" s="199"/>
    </row>
    <row r="135" spans="3:24" hidden="1">
      <c r="C135" s="199"/>
      <c r="D135" s="199"/>
      <c r="E135" s="199"/>
      <c r="F135" s="199"/>
      <c r="G135" s="199"/>
      <c r="H135" s="199"/>
      <c r="I135" s="199"/>
      <c r="J135" s="199"/>
      <c r="K135" s="199"/>
      <c r="L135" s="199"/>
      <c r="M135" s="199"/>
      <c r="N135" s="199"/>
      <c r="O135" s="199"/>
      <c r="P135" s="199"/>
      <c r="Q135" s="199"/>
      <c r="R135" s="199"/>
      <c r="S135" s="199"/>
      <c r="T135" s="199"/>
      <c r="U135" s="199"/>
      <c r="V135" s="199"/>
      <c r="W135" s="199"/>
      <c r="X135" s="199"/>
    </row>
    <row r="136" spans="3:24" hidden="1"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99"/>
      <c r="X136" s="199"/>
    </row>
    <row r="137" spans="3:24" hidden="1">
      <c r="C137" s="199"/>
      <c r="D137" s="199"/>
      <c r="E137" s="199"/>
      <c r="F137" s="199"/>
      <c r="G137" s="199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  <c r="V137" s="199"/>
      <c r="W137" s="199"/>
      <c r="X137" s="199"/>
    </row>
    <row r="138" spans="3:24" hidden="1">
      <c r="C138" s="199"/>
      <c r="D138" s="199"/>
      <c r="E138" s="199"/>
      <c r="F138" s="199"/>
      <c r="G138" s="199"/>
      <c r="H138" s="199"/>
      <c r="I138" s="199"/>
      <c r="J138" s="199"/>
      <c r="K138" s="199"/>
      <c r="L138" s="199"/>
      <c r="M138" s="199"/>
      <c r="N138" s="199"/>
      <c r="O138" s="199"/>
      <c r="P138" s="199"/>
      <c r="Q138" s="199"/>
      <c r="R138" s="199"/>
      <c r="S138" s="199"/>
      <c r="T138" s="199"/>
      <c r="U138" s="199"/>
      <c r="V138" s="199"/>
      <c r="W138" s="199"/>
      <c r="X138" s="199"/>
    </row>
    <row r="139" spans="3:24" hidden="1">
      <c r="C139" s="199"/>
      <c r="D139" s="199"/>
      <c r="E139" s="199"/>
      <c r="F139" s="199"/>
      <c r="G139" s="199"/>
      <c r="H139" s="199"/>
      <c r="I139" s="199"/>
      <c r="J139" s="199"/>
      <c r="K139" s="199"/>
      <c r="L139" s="199"/>
      <c r="M139" s="199"/>
      <c r="N139" s="199"/>
      <c r="O139" s="199"/>
      <c r="P139" s="199"/>
      <c r="Q139" s="199"/>
      <c r="R139" s="199"/>
      <c r="S139" s="199"/>
      <c r="T139" s="199"/>
      <c r="U139" s="199"/>
      <c r="V139" s="199"/>
      <c r="W139" s="199"/>
      <c r="X139" s="199"/>
    </row>
    <row r="140" spans="3:24" hidden="1">
      <c r="C140" s="199"/>
      <c r="D140" s="199"/>
      <c r="E140" s="199"/>
      <c r="F140" s="199"/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  <c r="Q140" s="199"/>
      <c r="R140" s="199"/>
      <c r="S140" s="199"/>
      <c r="T140" s="199"/>
      <c r="U140" s="199"/>
      <c r="V140" s="199"/>
      <c r="W140" s="199"/>
      <c r="X140" s="199"/>
    </row>
    <row r="141" spans="3:24" hidden="1">
      <c r="C141" s="199"/>
      <c r="D141" s="199"/>
      <c r="E141" s="199"/>
      <c r="F141" s="199"/>
      <c r="G141" s="199"/>
      <c r="H141" s="199"/>
      <c r="I141" s="199"/>
      <c r="J141" s="199"/>
      <c r="K141" s="199"/>
      <c r="L141" s="199"/>
      <c r="M141" s="199"/>
      <c r="N141" s="199"/>
      <c r="O141" s="199"/>
      <c r="P141" s="199"/>
      <c r="Q141" s="199"/>
      <c r="R141" s="199"/>
      <c r="S141" s="199"/>
      <c r="T141" s="199"/>
      <c r="U141" s="199"/>
      <c r="V141" s="199"/>
      <c r="W141" s="199"/>
      <c r="X141" s="199"/>
    </row>
    <row r="142" spans="3:24" hidden="1">
      <c r="C142" s="199"/>
      <c r="D142" s="199"/>
      <c r="E142" s="199"/>
      <c r="F142" s="199"/>
      <c r="G142" s="199"/>
      <c r="H142" s="199"/>
      <c r="I142" s="199"/>
      <c r="J142" s="199"/>
      <c r="K142" s="199"/>
      <c r="L142" s="199"/>
      <c r="M142" s="199"/>
      <c r="N142" s="199"/>
      <c r="O142" s="199"/>
      <c r="P142" s="199"/>
      <c r="Q142" s="199"/>
      <c r="R142" s="199"/>
      <c r="S142" s="199"/>
      <c r="T142" s="199"/>
      <c r="U142" s="199"/>
      <c r="V142" s="199"/>
      <c r="W142" s="199"/>
      <c r="X142" s="199"/>
    </row>
    <row r="143" spans="3:24" hidden="1">
      <c r="C143" s="199"/>
      <c r="D143" s="199"/>
      <c r="E143" s="199"/>
      <c r="F143" s="199"/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  <c r="V143" s="199"/>
      <c r="W143" s="199"/>
      <c r="X143" s="199"/>
    </row>
    <row r="144" spans="3:24" hidden="1">
      <c r="C144" s="199"/>
      <c r="D144" s="199"/>
      <c r="E144" s="199"/>
      <c r="F144" s="199"/>
      <c r="G144" s="199"/>
      <c r="H144" s="199"/>
      <c r="I144" s="199"/>
      <c r="J144" s="199"/>
      <c r="K144" s="199"/>
      <c r="L144" s="199"/>
      <c r="M144" s="199"/>
      <c r="N144" s="199"/>
      <c r="O144" s="199"/>
      <c r="P144" s="199"/>
      <c r="Q144" s="199"/>
      <c r="R144" s="199"/>
      <c r="S144" s="199"/>
      <c r="T144" s="199"/>
      <c r="U144" s="199"/>
      <c r="V144" s="199"/>
      <c r="W144" s="199"/>
      <c r="X144" s="199"/>
    </row>
    <row r="145" spans="3:24" hidden="1">
      <c r="C145" s="199"/>
      <c r="D145" s="199"/>
      <c r="E145" s="199"/>
      <c r="F145" s="199"/>
      <c r="G145" s="199"/>
      <c r="H145" s="199"/>
      <c r="I145" s="199"/>
      <c r="J145" s="199"/>
      <c r="K145" s="199"/>
      <c r="L145" s="199"/>
      <c r="M145" s="199"/>
      <c r="N145" s="199"/>
      <c r="O145" s="199"/>
      <c r="P145" s="199"/>
      <c r="Q145" s="199"/>
      <c r="R145" s="199"/>
      <c r="S145" s="199"/>
      <c r="T145" s="199"/>
      <c r="U145" s="199"/>
      <c r="V145" s="199"/>
      <c r="W145" s="199"/>
      <c r="X145" s="199"/>
    </row>
    <row r="146" spans="3:24" hidden="1">
      <c r="C146" s="199"/>
      <c r="D146" s="199"/>
      <c r="E146" s="199"/>
      <c r="F146" s="199"/>
      <c r="G146" s="199"/>
      <c r="H146" s="199"/>
      <c r="I146" s="199"/>
      <c r="J146" s="199"/>
      <c r="K146" s="199"/>
      <c r="L146" s="199"/>
      <c r="M146" s="199"/>
      <c r="N146" s="199"/>
      <c r="O146" s="199"/>
      <c r="P146" s="199"/>
      <c r="Q146" s="199"/>
      <c r="R146" s="199"/>
      <c r="S146" s="199"/>
      <c r="T146" s="199"/>
      <c r="U146" s="199"/>
      <c r="V146" s="199"/>
      <c r="W146" s="199"/>
      <c r="X146" s="199"/>
    </row>
    <row r="147" spans="3:24" hidden="1"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  <c r="X147" s="199"/>
    </row>
    <row r="148" spans="3:24" hidden="1">
      <c r="C148" s="199"/>
      <c r="D148" s="199"/>
      <c r="E148" s="199"/>
      <c r="F148" s="199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  <c r="W148" s="199"/>
      <c r="X148" s="199"/>
    </row>
    <row r="149" spans="3:24" hidden="1">
      <c r="C149" s="199"/>
      <c r="D149" s="199"/>
      <c r="E149" s="199"/>
      <c r="F149" s="199"/>
      <c r="G149" s="199"/>
      <c r="H149" s="199"/>
      <c r="I149" s="199"/>
      <c r="J149" s="199"/>
      <c r="K149" s="199"/>
      <c r="L149" s="199"/>
      <c r="M149" s="199"/>
      <c r="N149" s="199"/>
      <c r="O149" s="199"/>
      <c r="P149" s="199"/>
      <c r="Q149" s="199"/>
      <c r="R149" s="199"/>
      <c r="S149" s="199"/>
      <c r="T149" s="199"/>
      <c r="U149" s="199"/>
      <c r="V149" s="199"/>
      <c r="W149" s="199"/>
      <c r="X149" s="199"/>
    </row>
    <row r="150" spans="3:24" hidden="1">
      <c r="C150" s="199"/>
      <c r="D150" s="199"/>
      <c r="E150" s="199"/>
      <c r="F150" s="199"/>
      <c r="G150" s="199"/>
      <c r="H150" s="199"/>
      <c r="I150" s="199"/>
      <c r="J150" s="199"/>
      <c r="K150" s="199"/>
      <c r="L150" s="199"/>
      <c r="M150" s="199"/>
      <c r="N150" s="199"/>
      <c r="O150" s="199"/>
      <c r="P150" s="199"/>
      <c r="Q150" s="199"/>
      <c r="R150" s="199"/>
      <c r="S150" s="199"/>
      <c r="T150" s="199"/>
      <c r="U150" s="199"/>
      <c r="V150" s="199"/>
      <c r="W150" s="199"/>
      <c r="X150" s="199"/>
    </row>
    <row r="151" spans="3:24" hidden="1">
      <c r="C151" s="199"/>
      <c r="D151" s="199"/>
      <c r="E151" s="199"/>
      <c r="F151" s="199"/>
      <c r="G151" s="199"/>
      <c r="H151" s="199"/>
      <c r="I151" s="199"/>
      <c r="J151" s="199"/>
      <c r="K151" s="199"/>
      <c r="L151" s="199"/>
      <c r="M151" s="199"/>
      <c r="N151" s="199"/>
      <c r="O151" s="199"/>
      <c r="P151" s="199"/>
      <c r="Q151" s="199"/>
      <c r="R151" s="199"/>
      <c r="S151" s="199"/>
      <c r="T151" s="199"/>
      <c r="U151" s="199"/>
      <c r="V151" s="199"/>
      <c r="W151" s="199"/>
      <c r="X151" s="199"/>
    </row>
    <row r="152" spans="3:24" hidden="1">
      <c r="C152" s="199"/>
      <c r="D152" s="199"/>
      <c r="E152" s="199"/>
      <c r="F152" s="199"/>
      <c r="G152" s="199"/>
      <c r="H152" s="199"/>
      <c r="I152" s="199"/>
      <c r="J152" s="199"/>
      <c r="K152" s="199"/>
      <c r="L152" s="199"/>
      <c r="M152" s="199"/>
      <c r="N152" s="199"/>
      <c r="O152" s="199"/>
      <c r="P152" s="199"/>
      <c r="Q152" s="199"/>
      <c r="R152" s="199"/>
      <c r="S152" s="199"/>
      <c r="T152" s="199"/>
      <c r="U152" s="199"/>
      <c r="V152" s="199"/>
      <c r="W152" s="199"/>
      <c r="X152" s="199"/>
    </row>
    <row r="153" spans="3:24" hidden="1">
      <c r="C153" s="199"/>
      <c r="D153" s="199"/>
      <c r="E153" s="199"/>
      <c r="F153" s="199"/>
      <c r="G153" s="199"/>
      <c r="H153" s="199"/>
      <c r="I153" s="199"/>
      <c r="J153" s="199"/>
      <c r="K153" s="199"/>
      <c r="L153" s="199"/>
      <c r="M153" s="199"/>
      <c r="N153" s="199"/>
      <c r="O153" s="199"/>
      <c r="P153" s="199"/>
      <c r="Q153" s="199"/>
      <c r="R153" s="199"/>
      <c r="S153" s="199"/>
      <c r="T153" s="199"/>
      <c r="U153" s="199"/>
      <c r="V153" s="199"/>
      <c r="W153" s="199"/>
      <c r="X153" s="199"/>
    </row>
    <row r="154" spans="3:24" hidden="1">
      <c r="C154" s="199"/>
      <c r="D154" s="199"/>
      <c r="E154" s="199"/>
      <c r="F154" s="199"/>
      <c r="G154" s="199"/>
      <c r="H154" s="199"/>
      <c r="I154" s="199"/>
      <c r="J154" s="199"/>
      <c r="K154" s="199"/>
      <c r="L154" s="199"/>
      <c r="M154" s="199"/>
      <c r="N154" s="199"/>
      <c r="O154" s="199"/>
      <c r="P154" s="199"/>
      <c r="Q154" s="199"/>
      <c r="R154" s="199"/>
      <c r="S154" s="199"/>
      <c r="T154" s="199"/>
      <c r="U154" s="199"/>
      <c r="V154" s="199"/>
      <c r="W154" s="199"/>
      <c r="X154" s="199"/>
    </row>
    <row r="155" spans="3:24" hidden="1">
      <c r="C155" s="199"/>
      <c r="D155" s="199"/>
      <c r="E155" s="199"/>
      <c r="F155" s="199"/>
      <c r="G155" s="199"/>
      <c r="H155" s="199"/>
      <c r="I155" s="199"/>
      <c r="J155" s="199"/>
      <c r="K155" s="199"/>
      <c r="L155" s="199"/>
      <c r="M155" s="199"/>
      <c r="N155" s="199"/>
      <c r="O155" s="199"/>
      <c r="P155" s="199"/>
      <c r="Q155" s="199"/>
      <c r="R155" s="199"/>
      <c r="S155" s="199"/>
      <c r="T155" s="199"/>
      <c r="U155" s="199"/>
      <c r="V155" s="199"/>
      <c r="W155" s="199"/>
      <c r="X155" s="199"/>
    </row>
    <row r="156" spans="3:24" hidden="1">
      <c r="C156" s="199"/>
      <c r="D156" s="199"/>
      <c r="E156" s="199"/>
      <c r="F156" s="199"/>
      <c r="G156" s="199"/>
      <c r="H156" s="199"/>
      <c r="I156" s="199"/>
      <c r="J156" s="199"/>
      <c r="K156" s="199"/>
      <c r="L156" s="199"/>
      <c r="M156" s="199"/>
      <c r="N156" s="199"/>
      <c r="O156" s="199"/>
      <c r="P156" s="199"/>
      <c r="Q156" s="199"/>
      <c r="R156" s="199"/>
      <c r="S156" s="199"/>
      <c r="T156" s="199"/>
      <c r="U156" s="199"/>
      <c r="V156" s="199"/>
      <c r="W156" s="199"/>
      <c r="X156" s="199"/>
    </row>
    <row r="157" spans="3:24" hidden="1">
      <c r="C157" s="199"/>
      <c r="D157" s="199"/>
      <c r="E157" s="199"/>
      <c r="F157" s="199"/>
      <c r="G157" s="199"/>
      <c r="H157" s="199"/>
      <c r="I157" s="199"/>
      <c r="J157" s="199"/>
      <c r="K157" s="199"/>
      <c r="L157" s="199"/>
      <c r="M157" s="199"/>
      <c r="N157" s="199"/>
      <c r="O157" s="199"/>
      <c r="P157" s="199"/>
      <c r="Q157" s="199"/>
      <c r="R157" s="199"/>
      <c r="S157" s="199"/>
      <c r="T157" s="199"/>
      <c r="U157" s="199"/>
      <c r="V157" s="199"/>
      <c r="W157" s="199"/>
      <c r="X157" s="199"/>
    </row>
    <row r="158" spans="3:24" hidden="1">
      <c r="C158" s="199"/>
      <c r="D158" s="199"/>
      <c r="E158" s="199"/>
      <c r="F158" s="199"/>
      <c r="G158" s="199"/>
      <c r="H158" s="199"/>
      <c r="I158" s="199"/>
      <c r="J158" s="199"/>
      <c r="K158" s="199"/>
      <c r="L158" s="199"/>
      <c r="M158" s="199"/>
      <c r="N158" s="199"/>
      <c r="O158" s="199"/>
      <c r="P158" s="199"/>
      <c r="Q158" s="199"/>
      <c r="R158" s="199"/>
      <c r="S158" s="199"/>
      <c r="T158" s="199"/>
      <c r="U158" s="199"/>
      <c r="V158" s="199"/>
      <c r="W158" s="199"/>
      <c r="X158" s="199"/>
    </row>
    <row r="159" spans="3:24" hidden="1">
      <c r="C159" s="199"/>
      <c r="D159" s="199"/>
      <c r="E159" s="199"/>
      <c r="F159" s="199"/>
      <c r="G159" s="199"/>
      <c r="H159" s="199"/>
      <c r="I159" s="199"/>
      <c r="J159" s="199"/>
      <c r="K159" s="199"/>
      <c r="L159" s="199"/>
      <c r="M159" s="199"/>
      <c r="N159" s="199"/>
      <c r="O159" s="199"/>
      <c r="P159" s="199"/>
      <c r="Q159" s="199"/>
      <c r="R159" s="199"/>
      <c r="S159" s="199"/>
      <c r="T159" s="199"/>
      <c r="U159" s="199"/>
      <c r="V159" s="199"/>
      <c r="W159" s="199"/>
      <c r="X159" s="199"/>
    </row>
    <row r="160" spans="3:24" hidden="1">
      <c r="C160" s="199"/>
      <c r="D160" s="199"/>
      <c r="E160" s="199"/>
      <c r="F160" s="199"/>
      <c r="G160" s="199"/>
      <c r="H160" s="199"/>
      <c r="I160" s="199"/>
      <c r="J160" s="199"/>
      <c r="K160" s="199"/>
      <c r="L160" s="199"/>
      <c r="M160" s="199"/>
      <c r="N160" s="199"/>
      <c r="O160" s="199"/>
      <c r="P160" s="199"/>
      <c r="Q160" s="199"/>
      <c r="R160" s="199"/>
      <c r="S160" s="199"/>
      <c r="T160" s="199"/>
      <c r="U160" s="199"/>
      <c r="V160" s="199"/>
      <c r="W160" s="199"/>
      <c r="X160" s="199"/>
    </row>
    <row r="161" spans="3:24" hidden="1">
      <c r="C161" s="199"/>
      <c r="D161" s="199"/>
      <c r="E161" s="199"/>
      <c r="F161" s="199"/>
      <c r="G161" s="199"/>
      <c r="H161" s="199"/>
      <c r="I161" s="199"/>
      <c r="J161" s="199"/>
      <c r="K161" s="199"/>
      <c r="L161" s="199"/>
      <c r="M161" s="199"/>
      <c r="N161" s="199"/>
      <c r="O161" s="199"/>
      <c r="P161" s="199"/>
      <c r="Q161" s="199"/>
      <c r="R161" s="199"/>
      <c r="S161" s="199"/>
      <c r="T161" s="199"/>
      <c r="U161" s="199"/>
      <c r="V161" s="199"/>
      <c r="W161" s="199"/>
      <c r="X161" s="199"/>
    </row>
    <row r="162" spans="3:24" hidden="1">
      <c r="C162" s="199"/>
      <c r="D162" s="199"/>
      <c r="E162" s="199"/>
      <c r="F162" s="199"/>
      <c r="G162" s="199"/>
      <c r="H162" s="199"/>
      <c r="I162" s="199"/>
      <c r="J162" s="199"/>
      <c r="K162" s="199"/>
      <c r="L162" s="199"/>
      <c r="M162" s="199"/>
      <c r="N162" s="199"/>
      <c r="O162" s="199"/>
      <c r="P162" s="199"/>
      <c r="Q162" s="199"/>
      <c r="R162" s="199"/>
      <c r="S162" s="199"/>
      <c r="T162" s="199"/>
      <c r="U162" s="199"/>
      <c r="V162" s="199"/>
      <c r="W162" s="199"/>
      <c r="X162" s="199"/>
    </row>
    <row r="163" spans="3:24" hidden="1">
      <c r="C163" s="199"/>
      <c r="D163" s="199"/>
      <c r="E163" s="199"/>
      <c r="F163" s="199"/>
      <c r="G163" s="199"/>
      <c r="H163" s="199"/>
      <c r="I163" s="199"/>
      <c r="J163" s="199"/>
      <c r="K163" s="199"/>
      <c r="L163" s="199"/>
      <c r="M163" s="199"/>
      <c r="N163" s="199"/>
      <c r="O163" s="199"/>
      <c r="P163" s="199"/>
      <c r="Q163" s="199"/>
      <c r="R163" s="199"/>
      <c r="S163" s="199"/>
      <c r="T163" s="199"/>
      <c r="U163" s="199"/>
      <c r="V163" s="199"/>
      <c r="W163" s="199"/>
      <c r="X163" s="199"/>
    </row>
    <row r="164" spans="3:24" hidden="1">
      <c r="C164" s="199"/>
      <c r="D164" s="199"/>
      <c r="E164" s="199"/>
      <c r="F164" s="199"/>
      <c r="G164" s="199"/>
      <c r="H164" s="199"/>
      <c r="I164" s="199"/>
      <c r="J164" s="199"/>
      <c r="K164" s="199"/>
      <c r="L164" s="199"/>
      <c r="M164" s="199"/>
      <c r="N164" s="199"/>
      <c r="O164" s="199"/>
      <c r="P164" s="199"/>
      <c r="Q164" s="199"/>
      <c r="R164" s="199"/>
      <c r="S164" s="199"/>
      <c r="T164" s="199"/>
      <c r="U164" s="199"/>
      <c r="V164" s="199"/>
      <c r="W164" s="199"/>
      <c r="X164" s="199"/>
    </row>
    <row r="165" spans="3:24" hidden="1">
      <c r="C165" s="199"/>
      <c r="D165" s="199"/>
      <c r="E165" s="199"/>
      <c r="F165" s="199"/>
      <c r="G165" s="199"/>
      <c r="H165" s="199"/>
      <c r="I165" s="199"/>
      <c r="J165" s="199"/>
      <c r="K165" s="199"/>
      <c r="L165" s="199"/>
      <c r="M165" s="199"/>
      <c r="N165" s="199"/>
      <c r="O165" s="199"/>
      <c r="P165" s="199"/>
      <c r="Q165" s="199"/>
      <c r="R165" s="199"/>
      <c r="S165" s="199"/>
      <c r="T165" s="199"/>
      <c r="U165" s="199"/>
      <c r="V165" s="199"/>
      <c r="W165" s="199"/>
      <c r="X165" s="199"/>
    </row>
    <row r="166" spans="3:24" hidden="1">
      <c r="C166" s="199"/>
      <c r="D166" s="199"/>
      <c r="E166" s="199"/>
      <c r="F166" s="199"/>
      <c r="G166" s="199"/>
      <c r="H166" s="199"/>
      <c r="I166" s="199"/>
      <c r="J166" s="199"/>
      <c r="K166" s="199"/>
      <c r="L166" s="199"/>
      <c r="M166" s="199"/>
      <c r="N166" s="199"/>
      <c r="O166" s="199"/>
      <c r="P166" s="199"/>
      <c r="Q166" s="199"/>
      <c r="R166" s="199"/>
      <c r="S166" s="199"/>
      <c r="T166" s="199"/>
      <c r="U166" s="199"/>
      <c r="V166" s="199"/>
      <c r="W166" s="199"/>
      <c r="X166" s="199"/>
    </row>
    <row r="167" spans="3:24" hidden="1">
      <c r="C167" s="199"/>
      <c r="D167" s="199"/>
      <c r="E167" s="199"/>
      <c r="F167" s="199"/>
      <c r="G167" s="199"/>
      <c r="H167" s="199"/>
      <c r="I167" s="199"/>
      <c r="J167" s="199"/>
      <c r="K167" s="199"/>
      <c r="L167" s="199"/>
      <c r="M167" s="199"/>
      <c r="N167" s="199"/>
      <c r="O167" s="199"/>
      <c r="P167" s="199"/>
      <c r="Q167" s="199"/>
      <c r="R167" s="199"/>
      <c r="S167" s="199"/>
      <c r="T167" s="199"/>
      <c r="U167" s="199"/>
      <c r="V167" s="199"/>
      <c r="W167" s="199"/>
      <c r="X167" s="199"/>
    </row>
    <row r="168" spans="3:24" hidden="1">
      <c r="C168" s="199"/>
      <c r="D168" s="199"/>
      <c r="E168" s="199"/>
      <c r="F168" s="199"/>
      <c r="G168" s="199"/>
      <c r="H168" s="199"/>
      <c r="I168" s="199"/>
      <c r="J168" s="199"/>
      <c r="K168" s="199"/>
      <c r="L168" s="199"/>
      <c r="M168" s="199"/>
      <c r="N168" s="199"/>
      <c r="O168" s="199"/>
      <c r="P168" s="199"/>
      <c r="Q168" s="199"/>
      <c r="R168" s="199"/>
      <c r="S168" s="199"/>
      <c r="T168" s="199"/>
      <c r="U168" s="199"/>
      <c r="V168" s="199"/>
      <c r="W168" s="199"/>
      <c r="X168" s="199"/>
    </row>
    <row r="169" spans="3:24" hidden="1">
      <c r="C169" s="199"/>
      <c r="D169" s="199"/>
      <c r="E169" s="199"/>
      <c r="F169" s="199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  <c r="W169" s="199"/>
      <c r="X169" s="199"/>
    </row>
    <row r="170" spans="3:24" hidden="1">
      <c r="C170" s="199"/>
      <c r="D170" s="199"/>
      <c r="E170" s="199"/>
      <c r="F170" s="199"/>
      <c r="G170" s="199"/>
      <c r="H170" s="199"/>
      <c r="I170" s="199"/>
      <c r="J170" s="199"/>
      <c r="K170" s="199"/>
      <c r="L170" s="199"/>
      <c r="M170" s="199"/>
      <c r="N170" s="199"/>
      <c r="O170" s="199"/>
      <c r="P170" s="199"/>
      <c r="Q170" s="199"/>
      <c r="R170" s="199"/>
      <c r="S170" s="199"/>
      <c r="T170" s="199"/>
      <c r="U170" s="199"/>
      <c r="V170" s="199"/>
      <c r="W170" s="199"/>
      <c r="X170" s="199"/>
    </row>
    <row r="171" spans="3:24" hidden="1">
      <c r="C171" s="199"/>
      <c r="D171" s="199"/>
      <c r="E171" s="199"/>
      <c r="F171" s="199"/>
      <c r="G171" s="199"/>
      <c r="H171" s="199"/>
      <c r="I171" s="199"/>
      <c r="J171" s="199"/>
      <c r="K171" s="199"/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  <c r="W171" s="199"/>
      <c r="X171" s="199"/>
    </row>
    <row r="172" spans="3:24" hidden="1">
      <c r="C172" s="199"/>
      <c r="D172" s="199"/>
      <c r="E172" s="199"/>
      <c r="F172" s="199"/>
      <c r="G172" s="199"/>
      <c r="H172" s="199"/>
      <c r="I172" s="199"/>
      <c r="J172" s="199"/>
      <c r="K172" s="199"/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  <c r="V172" s="199"/>
      <c r="W172" s="199"/>
      <c r="X172" s="199"/>
    </row>
    <row r="173" spans="3:24" hidden="1">
      <c r="C173" s="199"/>
      <c r="D173" s="199"/>
      <c r="E173" s="199"/>
      <c r="F173" s="199"/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  <c r="V173" s="199"/>
      <c r="W173" s="199"/>
      <c r="X173" s="199"/>
    </row>
    <row r="174" spans="3:24" hidden="1">
      <c r="C174" s="199"/>
      <c r="D174" s="199"/>
      <c r="E174" s="199"/>
      <c r="F174" s="199"/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  <c r="W174" s="199"/>
      <c r="X174" s="199"/>
    </row>
    <row r="175" spans="3:24" hidden="1">
      <c r="C175" s="199"/>
      <c r="D175" s="199"/>
      <c r="E175" s="199"/>
      <c r="F175" s="199"/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  <c r="W175" s="199"/>
      <c r="X175" s="199"/>
    </row>
    <row r="176" spans="3:24" hidden="1"/>
    <row r="177" hidden="1"/>
    <row r="178" hidden="1"/>
    <row r="179" ht="1.5" hidden="1" customHeight="1"/>
    <row r="180" hidden="1"/>
    <row r="181" ht="7.5" hidden="1" customHeight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  <row r="65537" hidden="1"/>
    <row r="65538" hidden="1"/>
  </sheetData>
  <sheetProtection formatCells="0" formatColumns="0" formatRows="0"/>
  <mergeCells count="314">
    <mergeCell ref="P25:R25"/>
    <mergeCell ref="S26:U26"/>
    <mergeCell ref="D27:U27"/>
    <mergeCell ref="S25:U25"/>
    <mergeCell ref="E25:K25"/>
    <mergeCell ref="O26:Q26"/>
    <mergeCell ref="P29:R29"/>
    <mergeCell ref="V25:X25"/>
    <mergeCell ref="V26:X26"/>
    <mergeCell ref="S29:U29"/>
    <mergeCell ref="V27:X27"/>
    <mergeCell ref="V28:X28"/>
    <mergeCell ref="V29:X29"/>
    <mergeCell ref="V30:X30"/>
    <mergeCell ref="V31:X31"/>
    <mergeCell ref="S30:U30"/>
    <mergeCell ref="V34:X34"/>
    <mergeCell ref="S35:U35"/>
    <mergeCell ref="P33:R33"/>
    <mergeCell ref="S33:U33"/>
    <mergeCell ref="Q37:R37"/>
    <mergeCell ref="P34:R34"/>
    <mergeCell ref="Q36:R36"/>
    <mergeCell ref="V33:X33"/>
    <mergeCell ref="D30:R30"/>
    <mergeCell ref="S31:U31"/>
    <mergeCell ref="V32:X32"/>
    <mergeCell ref="S32:U32"/>
    <mergeCell ref="P31:R31"/>
    <mergeCell ref="P32:R32"/>
    <mergeCell ref="V48:X48"/>
    <mergeCell ref="D48:U48"/>
    <mergeCell ref="V46:X47"/>
    <mergeCell ref="S34:U34"/>
    <mergeCell ref="S36:U36"/>
    <mergeCell ref="V35:X35"/>
    <mergeCell ref="V43:X43"/>
    <mergeCell ref="S37:U37"/>
    <mergeCell ref="V41:X41"/>
    <mergeCell ref="S38:U38"/>
    <mergeCell ref="E38:R38"/>
    <mergeCell ref="V45:X45"/>
    <mergeCell ref="V38:X38"/>
    <mergeCell ref="V40:X40"/>
    <mergeCell ref="V42:X42"/>
    <mergeCell ref="V44:X44"/>
    <mergeCell ref="E41:R41"/>
    <mergeCell ref="S40:U40"/>
    <mergeCell ref="S41:U41"/>
    <mergeCell ref="E46:R46"/>
    <mergeCell ref="D45:U45"/>
    <mergeCell ref="S46:U47"/>
    <mergeCell ref="E47:R47"/>
    <mergeCell ref="V37:X37"/>
    <mergeCell ref="E51:O51"/>
    <mergeCell ref="P51:R51"/>
    <mergeCell ref="E52:O52"/>
    <mergeCell ref="S52:U52"/>
    <mergeCell ref="P52:R52"/>
    <mergeCell ref="D49:O49"/>
    <mergeCell ref="E56:O56"/>
    <mergeCell ref="E58:O58"/>
    <mergeCell ref="P58:R58"/>
    <mergeCell ref="S53:U53"/>
    <mergeCell ref="E54:O54"/>
    <mergeCell ref="P54:R54"/>
    <mergeCell ref="P53:R53"/>
    <mergeCell ref="E53:O53"/>
    <mergeCell ref="P55:R55"/>
    <mergeCell ref="P56:R56"/>
    <mergeCell ref="S54:U54"/>
    <mergeCell ref="S58:U58"/>
    <mergeCell ref="S56:U56"/>
    <mergeCell ref="P57:R57"/>
    <mergeCell ref="S49:U49"/>
    <mergeCell ref="P49:R49"/>
    <mergeCell ref="P50:R50"/>
    <mergeCell ref="S55:U55"/>
    <mergeCell ref="V59:X59"/>
    <mergeCell ref="V61:X79"/>
    <mergeCell ref="V60:X60"/>
    <mergeCell ref="S69:U69"/>
    <mergeCell ref="S73:U73"/>
    <mergeCell ref="S71:U71"/>
    <mergeCell ref="S72:U72"/>
    <mergeCell ref="S65:U65"/>
    <mergeCell ref="S67:U67"/>
    <mergeCell ref="S66:U66"/>
    <mergeCell ref="D59:U59"/>
    <mergeCell ref="D60:U60"/>
    <mergeCell ref="E68:O68"/>
    <mergeCell ref="E55:K55"/>
    <mergeCell ref="S64:U64"/>
    <mergeCell ref="P62:R62"/>
    <mergeCell ref="P63:R63"/>
    <mergeCell ref="E63:O63"/>
    <mergeCell ref="S68:U68"/>
    <mergeCell ref="P66:R66"/>
    <mergeCell ref="E66:O66"/>
    <mergeCell ref="P68:R68"/>
    <mergeCell ref="E67:O67"/>
    <mergeCell ref="E65:O65"/>
    <mergeCell ref="P64:R64"/>
    <mergeCell ref="S63:U63"/>
    <mergeCell ref="S62:U62"/>
    <mergeCell ref="S57:U57"/>
    <mergeCell ref="E57:O57"/>
    <mergeCell ref="P80:R80"/>
    <mergeCell ref="P65:R65"/>
    <mergeCell ref="S79:U79"/>
    <mergeCell ref="S78:U78"/>
    <mergeCell ref="S74:U74"/>
    <mergeCell ref="S76:U76"/>
    <mergeCell ref="S77:U77"/>
    <mergeCell ref="S75:U75"/>
    <mergeCell ref="T90:U90"/>
    <mergeCell ref="D81:R81"/>
    <mergeCell ref="S81:U81"/>
    <mergeCell ref="P82:R82"/>
    <mergeCell ref="P83:R83"/>
    <mergeCell ref="S83:U83"/>
    <mergeCell ref="S82:U82"/>
    <mergeCell ref="E72:O72"/>
    <mergeCell ref="E73:O73"/>
    <mergeCell ref="E77:O77"/>
    <mergeCell ref="P75:R75"/>
    <mergeCell ref="E76:O76"/>
    <mergeCell ref="E74:O74"/>
    <mergeCell ref="E75:O75"/>
    <mergeCell ref="P69:R69"/>
    <mergeCell ref="S70:U70"/>
    <mergeCell ref="AF84:AG84"/>
    <mergeCell ref="AC90:AD97"/>
    <mergeCell ref="V95:X95"/>
    <mergeCell ref="V97:X97"/>
    <mergeCell ref="V91:X91"/>
    <mergeCell ref="V90:X90"/>
    <mergeCell ref="V93:X93"/>
    <mergeCell ref="S84:U84"/>
    <mergeCell ref="D86:U86"/>
    <mergeCell ref="T91:U91"/>
    <mergeCell ref="K90:L90"/>
    <mergeCell ref="P84:R84"/>
    <mergeCell ref="M90:S90"/>
    <mergeCell ref="V89:X89"/>
    <mergeCell ref="V85:X85"/>
    <mergeCell ref="V86:X86"/>
    <mergeCell ref="M89:U89"/>
    <mergeCell ref="S85:U85"/>
    <mergeCell ref="P85:R85"/>
    <mergeCell ref="V87:X87"/>
    <mergeCell ref="V88:X88"/>
    <mergeCell ref="D88:U88"/>
    <mergeCell ref="D87:U87"/>
    <mergeCell ref="T93:U93"/>
    <mergeCell ref="D89:L89"/>
    <mergeCell ref="D90:J90"/>
    <mergeCell ref="D91:I91"/>
    <mergeCell ref="E94:F94"/>
    <mergeCell ref="E92:F92"/>
    <mergeCell ref="G92:H92"/>
    <mergeCell ref="K91:L91"/>
    <mergeCell ref="K95:L95"/>
    <mergeCell ref="D93:I93"/>
    <mergeCell ref="G94:H94"/>
    <mergeCell ref="K93:L93"/>
    <mergeCell ref="G125:K125"/>
    <mergeCell ref="F122:I122"/>
    <mergeCell ref="F124:K124"/>
    <mergeCell ref="F121:I121"/>
    <mergeCell ref="G123:K123"/>
    <mergeCell ref="J109:K109"/>
    <mergeCell ref="K116:L116"/>
    <mergeCell ref="D112:U112"/>
    <mergeCell ref="V104:X104"/>
    <mergeCell ref="V118:X118"/>
    <mergeCell ref="V121:X121"/>
    <mergeCell ref="P117:Q117"/>
    <mergeCell ref="S117:U117"/>
    <mergeCell ref="V117:X117"/>
    <mergeCell ref="S119:U119"/>
    <mergeCell ref="V102:X102"/>
    <mergeCell ref="V111:X111"/>
    <mergeCell ref="O98:P98"/>
    <mergeCell ref="M94:N94"/>
    <mergeCell ref="O94:P94"/>
    <mergeCell ref="V108:X108"/>
    <mergeCell ref="S99:T99"/>
    <mergeCell ref="T97:U97"/>
    <mergeCell ref="V105:X105"/>
    <mergeCell ref="V106:X106"/>
    <mergeCell ref="V107:X107"/>
    <mergeCell ref="T95:U95"/>
    <mergeCell ref="M95:R95"/>
    <mergeCell ref="M96:N96"/>
    <mergeCell ref="G98:H98"/>
    <mergeCell ref="V112:X112"/>
    <mergeCell ref="V101:X101"/>
    <mergeCell ref="C101:U101"/>
    <mergeCell ref="V103:X103"/>
    <mergeCell ref="V120:X120"/>
    <mergeCell ref="V116:X116"/>
    <mergeCell ref="V113:X113"/>
    <mergeCell ref="V109:X109"/>
    <mergeCell ref="V110:X110"/>
    <mergeCell ref="V114:X114"/>
    <mergeCell ref="V115:X115"/>
    <mergeCell ref="V99:X99"/>
    <mergeCell ref="R118:U118"/>
    <mergeCell ref="S102:T102"/>
    <mergeCell ref="S103:T103"/>
    <mergeCell ref="S107:T107"/>
    <mergeCell ref="R115:U115"/>
    <mergeCell ref="S104:T104"/>
    <mergeCell ref="S108:T108"/>
    <mergeCell ref="D107:M107"/>
    <mergeCell ref="K111:L111"/>
    <mergeCell ref="K110:L110"/>
    <mergeCell ref="V100:X100"/>
    <mergeCell ref="D97:I97"/>
    <mergeCell ref="M98:N98"/>
    <mergeCell ref="O96:P96"/>
    <mergeCell ref="T98:U98"/>
    <mergeCell ref="E98:F98"/>
    <mergeCell ref="M97:R97"/>
    <mergeCell ref="G96:H96"/>
    <mergeCell ref="K97:L97"/>
    <mergeCell ref="S51:U51"/>
    <mergeCell ref="S80:U80"/>
    <mergeCell ref="M91:R91"/>
    <mergeCell ref="L55:M55"/>
    <mergeCell ref="P70:R70"/>
    <mergeCell ref="E79:O79"/>
    <mergeCell ref="P79:R79"/>
    <mergeCell ref="D95:I95"/>
    <mergeCell ref="E96:F96"/>
    <mergeCell ref="M92:N92"/>
    <mergeCell ref="M93:R93"/>
    <mergeCell ref="O92:P92"/>
    <mergeCell ref="P71:R71"/>
    <mergeCell ref="P74:R74"/>
    <mergeCell ref="K98:L98"/>
    <mergeCell ref="P73:R73"/>
    <mergeCell ref="S50:U50"/>
    <mergeCell ref="E70:O70"/>
    <mergeCell ref="P67:R67"/>
    <mergeCell ref="P78:R78"/>
    <mergeCell ref="P77:R77"/>
    <mergeCell ref="P76:R76"/>
    <mergeCell ref="E71:O71"/>
    <mergeCell ref="E78:O78"/>
    <mergeCell ref="S22:U22"/>
    <mergeCell ref="S24:U24"/>
    <mergeCell ref="S23:U23"/>
    <mergeCell ref="K22:O22"/>
    <mergeCell ref="Q24:R24"/>
    <mergeCell ref="K23:P23"/>
    <mergeCell ref="J24:P24"/>
    <mergeCell ref="E23:J23"/>
    <mergeCell ref="E22:J22"/>
    <mergeCell ref="Q23:R23"/>
    <mergeCell ref="D61:O61"/>
    <mergeCell ref="S61:U61"/>
    <mergeCell ref="E62:O62"/>
    <mergeCell ref="E64:O64"/>
    <mergeCell ref="P72:R72"/>
    <mergeCell ref="P61:R61"/>
    <mergeCell ref="E15:P15"/>
    <mergeCell ref="Q16:R16"/>
    <mergeCell ref="Q15:R15"/>
    <mergeCell ref="B1:I1"/>
    <mergeCell ref="K1:X1"/>
    <mergeCell ref="W4:X4"/>
    <mergeCell ref="U4:V4"/>
    <mergeCell ref="O5:P5"/>
    <mergeCell ref="C8:F8"/>
    <mergeCell ref="U11:X11"/>
    <mergeCell ref="E11:R11"/>
    <mergeCell ref="Q5:R5"/>
    <mergeCell ref="H9:X10"/>
    <mergeCell ref="C7:F7"/>
    <mergeCell ref="G8:X8"/>
    <mergeCell ref="C9:G9"/>
    <mergeCell ref="C10:G10"/>
    <mergeCell ref="G7:X7"/>
    <mergeCell ref="V14:X14"/>
    <mergeCell ref="S14:U14"/>
    <mergeCell ref="E14:P14"/>
    <mergeCell ref="Q14:R14"/>
    <mergeCell ref="S13:U13"/>
    <mergeCell ref="S39:U39"/>
    <mergeCell ref="V15:X15"/>
    <mergeCell ref="E21:O21"/>
    <mergeCell ref="V16:X16"/>
    <mergeCell ref="S16:U16"/>
    <mergeCell ref="V17:X17"/>
    <mergeCell ref="Q21:R21"/>
    <mergeCell ref="Q22:R22"/>
    <mergeCell ref="S15:U15"/>
    <mergeCell ref="V19:X19"/>
    <mergeCell ref="S21:U21"/>
    <mergeCell ref="S20:U20"/>
    <mergeCell ref="S17:U17"/>
    <mergeCell ref="V18:X18"/>
    <mergeCell ref="Q20:R20"/>
    <mergeCell ref="E19:R19"/>
    <mergeCell ref="S19:U19"/>
    <mergeCell ref="S18:U18"/>
    <mergeCell ref="E20:J20"/>
    <mergeCell ref="K20:O20"/>
    <mergeCell ref="H17:P17"/>
    <mergeCell ref="Q17:R17"/>
    <mergeCell ref="H18:P18"/>
    <mergeCell ref="Q18:R18"/>
  </mergeCells>
  <phoneticPr fontId="20" type="noConversion"/>
  <dataValidations count="2">
    <dataValidation type="list" allowBlank="1" showInputMessage="1" showErrorMessage="1" promptTitle="Cyber Group Dangs :" prompt="&#10;&#10;ભરવાપાત્ર ટેક્ષ જો નિયમિત ન ભરવામાં આવે તો (Section 234(A)) મુજબ દંડકીય વ્યાજ ભરવો પડે. આપે દંડકીય વ્યાજ ભરવો હોય તો &quot;YES&quot; ન ભરવો હોય તો &quot;NO&quot; સીલેકટ કરવા વિનંતી.  &#10;" sqref="Y113 Y117">
      <formula1>$Z$115:$Z$118</formula1>
    </dataValidation>
    <dataValidation type="whole" allowBlank="1" showInputMessage="1" showErrorMessage="1" errorTitle="Pls Input valid value " error="Dont Input Nagative Value, it should be more than 0" sqref="V117:X117">
      <formula1>0</formula1>
      <formula2>500000</formula2>
    </dataValidation>
  </dataValidations>
  <hyperlinks>
    <hyperlink ref="B1" location="BACK2" display="BACK2"/>
    <hyperlink ref="AC105" r:id="rId1"/>
    <hyperlink ref="AG105" r:id="rId2"/>
  </hyperlinks>
  <printOptions horizontalCentered="1"/>
  <pageMargins left="0.59055118110236204" right="0" top="0.5" bottom="0.31496062992126" header="3.9370078740157501E-2" footer="0.196850393700787"/>
  <pageSetup paperSize="9" scale="87" orientation="portrait" horizontalDpi="1200" verticalDpi="1200" r:id="rId3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  <rowBreaks count="1" manualBreakCount="1">
    <brk id="60" max="16383" man="1"/>
  </rowBreaks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>
    <tabColor indexed="10"/>
    <pageSetUpPr fitToPage="1"/>
  </sheetPr>
  <dimension ref="A1:FW202"/>
  <sheetViews>
    <sheetView showGridLines="0" showRowColHeaders="0" topLeftCell="A2" zoomScale="115" zoomScaleNormal="115" zoomScaleSheetLayoutView="85" workbookViewId="0">
      <pane ySplit="3" topLeftCell="A64" activePane="bottomLeft" state="frozen"/>
      <selection activeCell="D19" sqref="D19:S20"/>
      <selection pane="bottomLeft" activeCell="A2" sqref="A2:O2"/>
    </sheetView>
  </sheetViews>
  <sheetFormatPr defaultColWidth="0" defaultRowHeight="15" zeroHeight="1"/>
  <cols>
    <col min="1" max="1" width="2.125" style="209" customWidth="1"/>
    <col min="2" max="39" width="2.625" style="218" customWidth="1"/>
    <col min="40" max="40" width="0.875" style="260" customWidth="1"/>
    <col min="41" max="41" width="2.625" style="260" customWidth="1"/>
    <col min="42" max="47" width="2.125" style="260" hidden="1" customWidth="1"/>
    <col min="48" max="48" width="0.875" style="260" hidden="1" customWidth="1"/>
    <col min="49" max="50" width="2.125" style="260" hidden="1" customWidth="1"/>
    <col min="51" max="179" width="2.125" style="201" hidden="1" customWidth="1"/>
    <col min="180" max="16384" width="9" style="201" hidden="1"/>
  </cols>
  <sheetData>
    <row r="1" spans="1:151" hidden="1">
      <c r="A1" s="201" t="s">
        <v>209</v>
      </c>
      <c r="B1" s="201">
        <v>2</v>
      </c>
      <c r="C1" s="201">
        <v>3</v>
      </c>
      <c r="D1" s="201">
        <v>4</v>
      </c>
      <c r="E1" s="201">
        <v>5</v>
      </c>
      <c r="F1" s="201">
        <v>6</v>
      </c>
      <c r="G1" s="201">
        <v>7</v>
      </c>
      <c r="H1" s="201">
        <v>8</v>
      </c>
      <c r="I1" s="201">
        <v>9</v>
      </c>
      <c r="J1" s="201">
        <v>10</v>
      </c>
      <c r="K1" s="201">
        <v>11</v>
      </c>
      <c r="L1" s="201">
        <v>12</v>
      </c>
      <c r="M1" s="201">
        <v>13</v>
      </c>
      <c r="N1" s="201">
        <v>14</v>
      </c>
      <c r="O1" s="201">
        <v>15</v>
      </c>
      <c r="P1" s="201">
        <v>16</v>
      </c>
      <c r="Q1" s="201">
        <v>17</v>
      </c>
      <c r="R1" s="201">
        <v>18</v>
      </c>
      <c r="S1" s="201">
        <v>19</v>
      </c>
      <c r="T1" s="201">
        <v>20</v>
      </c>
      <c r="U1" s="201">
        <v>21</v>
      </c>
      <c r="V1" s="202">
        <v>22</v>
      </c>
      <c r="W1" s="201">
        <v>23</v>
      </c>
      <c r="X1" s="201">
        <v>24</v>
      </c>
      <c r="Y1" s="201">
        <v>25</v>
      </c>
      <c r="Z1" s="201">
        <v>26</v>
      </c>
      <c r="AA1" s="201">
        <v>27</v>
      </c>
      <c r="AB1" s="201">
        <v>28</v>
      </c>
      <c r="AC1" s="201">
        <v>29</v>
      </c>
      <c r="AD1" s="201">
        <v>30</v>
      </c>
      <c r="AE1" s="201">
        <v>31</v>
      </c>
      <c r="AF1" s="201">
        <v>32</v>
      </c>
      <c r="AG1" s="201">
        <v>33</v>
      </c>
      <c r="AH1" s="201">
        <v>34</v>
      </c>
      <c r="AI1" s="201">
        <v>35</v>
      </c>
      <c r="AJ1" s="201">
        <v>36</v>
      </c>
      <c r="AK1" s="201">
        <v>37</v>
      </c>
      <c r="AL1" s="201">
        <v>38</v>
      </c>
      <c r="AM1" s="201">
        <v>39</v>
      </c>
      <c r="AN1" s="201">
        <v>40</v>
      </c>
      <c r="AO1" s="201">
        <v>41</v>
      </c>
      <c r="AP1" s="201">
        <v>42</v>
      </c>
      <c r="AQ1" s="201">
        <v>43</v>
      </c>
      <c r="AR1" s="201">
        <v>44</v>
      </c>
      <c r="AS1" s="201">
        <v>45</v>
      </c>
      <c r="AT1" s="201">
        <v>46</v>
      </c>
      <c r="AU1" s="201">
        <v>47</v>
      </c>
      <c r="AV1" s="201">
        <v>48</v>
      </c>
      <c r="AW1" s="201">
        <v>49</v>
      </c>
      <c r="AX1" s="201">
        <v>50</v>
      </c>
      <c r="AY1" s="201">
        <v>51</v>
      </c>
      <c r="AZ1" s="201">
        <v>52</v>
      </c>
      <c r="BA1" s="201">
        <v>53</v>
      </c>
      <c r="BB1" s="201">
        <v>54</v>
      </c>
      <c r="BC1" s="201">
        <v>55</v>
      </c>
      <c r="BD1" s="201">
        <v>56</v>
      </c>
      <c r="BE1" s="201">
        <v>57</v>
      </c>
      <c r="BF1" s="201">
        <v>58</v>
      </c>
      <c r="BG1" s="201">
        <v>59</v>
      </c>
      <c r="BH1" s="201">
        <v>60</v>
      </c>
      <c r="BI1" s="201">
        <v>61</v>
      </c>
      <c r="BJ1" s="201">
        <v>62</v>
      </c>
      <c r="BK1" s="201">
        <v>63</v>
      </c>
      <c r="BL1" s="201">
        <v>64</v>
      </c>
      <c r="BM1" s="201">
        <v>65</v>
      </c>
      <c r="BN1" s="201">
        <v>66</v>
      </c>
      <c r="BO1" s="201">
        <v>67</v>
      </c>
      <c r="BP1" s="201">
        <v>68</v>
      </c>
      <c r="BQ1" s="201">
        <v>69</v>
      </c>
      <c r="BR1" s="201">
        <v>70</v>
      </c>
      <c r="BS1" s="201">
        <v>71</v>
      </c>
      <c r="BT1" s="201">
        <v>72</v>
      </c>
      <c r="BU1" s="201">
        <v>73</v>
      </c>
      <c r="BV1" s="201">
        <v>74</v>
      </c>
      <c r="BW1" s="201">
        <v>75</v>
      </c>
      <c r="BX1" s="201">
        <v>76</v>
      </c>
      <c r="BY1" s="201">
        <v>77</v>
      </c>
      <c r="BZ1" s="201">
        <v>78</v>
      </c>
      <c r="CA1" s="201">
        <v>79</v>
      </c>
      <c r="CB1" s="201">
        <v>80</v>
      </c>
      <c r="CC1" s="201">
        <v>81</v>
      </c>
      <c r="CD1" s="201">
        <v>82</v>
      </c>
      <c r="CE1" s="201">
        <v>83</v>
      </c>
      <c r="CF1" s="201">
        <v>84</v>
      </c>
      <c r="CG1" s="201">
        <v>85</v>
      </c>
      <c r="CH1" s="201">
        <v>86</v>
      </c>
      <c r="CI1" s="201">
        <v>87</v>
      </c>
      <c r="CJ1" s="201">
        <v>88</v>
      </c>
      <c r="CK1" s="201">
        <v>89</v>
      </c>
      <c r="CL1" s="201">
        <v>90</v>
      </c>
      <c r="CM1" s="201">
        <v>91</v>
      </c>
      <c r="CN1" s="201">
        <v>92</v>
      </c>
      <c r="CO1" s="201">
        <v>93</v>
      </c>
      <c r="CP1" s="201">
        <v>94</v>
      </c>
      <c r="CQ1" s="201">
        <v>95</v>
      </c>
      <c r="CR1" s="201">
        <v>96</v>
      </c>
      <c r="CS1" s="201">
        <v>97</v>
      </c>
      <c r="CT1" s="201">
        <v>98</v>
      </c>
      <c r="CU1" s="201">
        <v>99</v>
      </c>
      <c r="CV1" s="201">
        <v>100</v>
      </c>
      <c r="CW1" s="201">
        <v>101</v>
      </c>
      <c r="CX1" s="201">
        <v>102</v>
      </c>
      <c r="CY1" s="201">
        <v>103</v>
      </c>
      <c r="CZ1" s="201">
        <v>104</v>
      </c>
      <c r="DA1" s="201">
        <v>105</v>
      </c>
      <c r="DB1" s="201">
        <v>106</v>
      </c>
      <c r="DC1" s="201">
        <v>107</v>
      </c>
      <c r="DD1" s="201">
        <v>108</v>
      </c>
      <c r="DE1" s="201">
        <v>109</v>
      </c>
      <c r="DF1" s="201">
        <v>110</v>
      </c>
      <c r="DG1" s="201">
        <v>111</v>
      </c>
      <c r="DH1" s="201">
        <v>112</v>
      </c>
      <c r="DI1" s="201">
        <v>113</v>
      </c>
      <c r="DJ1" s="201">
        <v>114</v>
      </c>
      <c r="DK1" s="201">
        <v>115</v>
      </c>
      <c r="DL1" s="201">
        <v>116</v>
      </c>
      <c r="DM1" s="201">
        <v>117</v>
      </c>
      <c r="DN1" s="201">
        <v>118</v>
      </c>
      <c r="DO1" s="201">
        <v>119</v>
      </c>
      <c r="DP1" s="201">
        <v>120</v>
      </c>
      <c r="DQ1" s="201">
        <v>121</v>
      </c>
      <c r="DR1" s="201">
        <v>122</v>
      </c>
      <c r="DS1" s="201">
        <v>123</v>
      </c>
      <c r="DT1" s="201">
        <v>124</v>
      </c>
      <c r="DU1" s="201">
        <v>125</v>
      </c>
      <c r="DV1" s="201">
        <v>126</v>
      </c>
      <c r="DW1" s="201">
        <v>127</v>
      </c>
      <c r="DX1" s="201">
        <v>128</v>
      </c>
      <c r="DY1" s="201">
        <v>129</v>
      </c>
      <c r="DZ1" s="201">
        <v>130</v>
      </c>
      <c r="EA1" s="201">
        <v>131</v>
      </c>
      <c r="EB1" s="201">
        <v>132</v>
      </c>
      <c r="EC1" s="201">
        <v>133</v>
      </c>
      <c r="ED1" s="201">
        <v>134</v>
      </c>
      <c r="EE1" s="201">
        <v>135</v>
      </c>
      <c r="EF1" s="201">
        <v>136</v>
      </c>
      <c r="EG1" s="201">
        <v>137</v>
      </c>
      <c r="EH1" s="201">
        <v>138</v>
      </c>
      <c r="EI1" s="201">
        <v>139</v>
      </c>
      <c r="EJ1" s="201">
        <v>140</v>
      </c>
      <c r="EK1" s="201">
        <v>141</v>
      </c>
      <c r="EL1" s="201">
        <v>142</v>
      </c>
      <c r="EM1" s="201">
        <v>143</v>
      </c>
      <c r="EN1" s="201">
        <v>144</v>
      </c>
      <c r="EO1" s="201">
        <v>145</v>
      </c>
      <c r="EP1" s="201">
        <v>146</v>
      </c>
      <c r="EQ1" s="201">
        <v>147</v>
      </c>
      <c r="ER1" s="201">
        <v>148</v>
      </c>
      <c r="ES1" s="201">
        <v>149</v>
      </c>
      <c r="ET1" s="201">
        <v>150</v>
      </c>
      <c r="EU1" s="201">
        <v>151</v>
      </c>
    </row>
    <row r="2" spans="1:151" s="203" customFormat="1" ht="26.25" customHeight="1" thickBot="1">
      <c r="A2" s="1898" t="s">
        <v>90</v>
      </c>
      <c r="B2" s="1898"/>
      <c r="C2" s="1898"/>
      <c r="D2" s="1898"/>
      <c r="E2" s="1898"/>
      <c r="F2" s="1898"/>
      <c r="G2" s="1898"/>
      <c r="H2" s="1898"/>
      <c r="I2" s="1898"/>
      <c r="J2" s="1898"/>
      <c r="K2" s="1898"/>
      <c r="L2" s="1898"/>
      <c r="M2" s="1898"/>
      <c r="N2" s="1898"/>
      <c r="O2" s="1898"/>
      <c r="P2" s="1897" t="s">
        <v>314</v>
      </c>
      <c r="Q2" s="1897"/>
      <c r="R2" s="1897"/>
      <c r="S2" s="1897"/>
      <c r="T2" s="1897"/>
      <c r="U2" s="1897"/>
      <c r="V2" s="1897"/>
      <c r="W2" s="1897"/>
      <c r="X2" s="1897"/>
      <c r="Y2" s="1897"/>
      <c r="Z2" s="1897"/>
      <c r="AA2" s="1897"/>
      <c r="AB2" s="1897"/>
      <c r="AC2" s="1897"/>
      <c r="AD2" s="1897"/>
      <c r="AE2" s="1897"/>
      <c r="AF2" s="1897"/>
      <c r="AG2" s="1897"/>
      <c r="AH2" s="1897"/>
      <c r="AI2" s="1897"/>
      <c r="AJ2" s="1897"/>
      <c r="AK2" s="1897"/>
      <c r="AL2" s="1897"/>
      <c r="AM2" s="1897"/>
      <c r="AN2" s="1897"/>
      <c r="AO2" s="1897"/>
    </row>
    <row r="3" spans="1:151" s="203" customFormat="1" ht="22.5" customHeight="1" thickTop="1" thickBot="1">
      <c r="A3" s="204"/>
      <c r="B3" s="205" t="s">
        <v>475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6"/>
      <c r="AN3" s="207"/>
      <c r="AO3" s="208"/>
    </row>
    <row r="4" spans="1:151" s="337" customFormat="1" ht="3.75" customHeight="1" thickTop="1">
      <c r="A4" s="332"/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4"/>
      <c r="Q4" s="334"/>
      <c r="R4" s="334"/>
      <c r="S4" s="334"/>
      <c r="T4" s="334"/>
      <c r="U4" s="334"/>
      <c r="V4" s="334"/>
      <c r="W4" s="334"/>
      <c r="X4" s="334"/>
      <c r="Y4" s="334"/>
      <c r="Z4" s="334"/>
      <c r="AA4" s="334"/>
      <c r="AB4" s="334"/>
      <c r="AC4" s="334"/>
      <c r="AD4" s="334"/>
      <c r="AE4" s="334"/>
      <c r="AF4" s="334"/>
      <c r="AG4" s="334"/>
      <c r="AH4" s="334"/>
      <c r="AI4" s="334"/>
      <c r="AJ4" s="334"/>
      <c r="AK4" s="334"/>
      <c r="AL4" s="334"/>
      <c r="AM4" s="334"/>
      <c r="AN4" s="335"/>
      <c r="AO4" s="336"/>
    </row>
    <row r="5" spans="1:151" ht="15.7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 t="s">
        <v>210</v>
      </c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09"/>
      <c r="AO5" s="210"/>
      <c r="AP5" s="201"/>
      <c r="AQ5" s="201"/>
      <c r="AR5" s="201"/>
      <c r="AS5" s="201"/>
      <c r="AT5" s="201"/>
      <c r="AU5" s="201"/>
      <c r="AV5" s="201"/>
      <c r="AW5" s="201"/>
      <c r="AX5" s="201"/>
    </row>
    <row r="6" spans="1:151" s="213" customFormat="1" ht="12.75">
      <c r="A6" s="211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 t="s">
        <v>211</v>
      </c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1"/>
      <c r="AO6" s="212"/>
    </row>
    <row r="7" spans="1:151" s="216" customFormat="1" ht="18" customHeight="1">
      <c r="A7" s="214"/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 t="s">
        <v>343</v>
      </c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4"/>
      <c r="AO7" s="215"/>
    </row>
    <row r="8" spans="1:151" s="216" customFormat="1" ht="18" customHeight="1">
      <c r="A8" s="214"/>
      <c r="B8" s="215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5" t="s">
        <v>212</v>
      </c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15"/>
      <c r="AI8" s="215"/>
      <c r="AJ8" s="215"/>
      <c r="AK8" s="215"/>
      <c r="AL8" s="215"/>
      <c r="AM8" s="215"/>
      <c r="AN8" s="214"/>
      <c r="AO8" s="215"/>
    </row>
    <row r="9" spans="1:151" s="213" customFormat="1" ht="18" customHeight="1">
      <c r="A9" s="211"/>
      <c r="B9" s="215"/>
      <c r="C9" s="215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 t="s">
        <v>259</v>
      </c>
      <c r="V9" s="215"/>
      <c r="W9" s="215"/>
      <c r="X9" s="215"/>
      <c r="Y9" s="215"/>
      <c r="Z9" s="215"/>
      <c r="AA9" s="215"/>
      <c r="AB9" s="215"/>
      <c r="AC9" s="215"/>
      <c r="AD9" s="215"/>
      <c r="AE9" s="215"/>
      <c r="AF9" s="215"/>
      <c r="AG9" s="215"/>
      <c r="AH9" s="215"/>
      <c r="AI9" s="215"/>
      <c r="AJ9" s="215"/>
      <c r="AK9" s="215"/>
      <c r="AL9" s="215"/>
      <c r="AM9" s="215"/>
      <c r="AN9" s="211"/>
      <c r="AO9" s="215"/>
    </row>
    <row r="10" spans="1:151" ht="2.25" customHeight="1">
      <c r="B10" s="217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17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1"/>
      <c r="AQ10" s="201"/>
      <c r="AR10" s="201"/>
      <c r="AS10" s="201"/>
      <c r="AT10" s="201"/>
      <c r="AU10" s="201"/>
      <c r="AV10" s="201"/>
      <c r="AW10" s="201"/>
      <c r="AX10" s="201"/>
    </row>
    <row r="11" spans="1:151">
      <c r="B11" s="209"/>
      <c r="C11" s="1899" t="s">
        <v>213</v>
      </c>
      <c r="D11" s="1899"/>
      <c r="E11" s="1899"/>
      <c r="F11" s="1899"/>
      <c r="G11" s="1899"/>
      <c r="H11" s="1899"/>
      <c r="I11" s="1899"/>
      <c r="J11" s="1899"/>
      <c r="K11" s="1899"/>
      <c r="L11" s="1899"/>
      <c r="M11" s="1899"/>
      <c r="N11" s="1899"/>
      <c r="O11" s="1899"/>
      <c r="P11" s="1899"/>
      <c r="Q11" s="1899"/>
      <c r="R11" s="1899"/>
      <c r="S11" s="1899"/>
      <c r="T11" s="1899"/>
      <c r="U11" s="211"/>
      <c r="V11" s="1899" t="s">
        <v>214</v>
      </c>
      <c r="W11" s="1899"/>
      <c r="X11" s="1899"/>
      <c r="Y11" s="1899"/>
      <c r="Z11" s="1899"/>
      <c r="AA11" s="1899"/>
      <c r="AB11" s="1899"/>
      <c r="AC11" s="1899"/>
      <c r="AD11" s="1899"/>
      <c r="AE11" s="1899"/>
      <c r="AF11" s="1899"/>
      <c r="AG11" s="1899"/>
      <c r="AH11" s="1899"/>
      <c r="AI11" s="1899"/>
      <c r="AJ11" s="1899"/>
      <c r="AK11" s="1899"/>
      <c r="AL11" s="1899"/>
      <c r="AM11" s="1899"/>
      <c r="AN11" s="209"/>
      <c r="AO11" s="209"/>
      <c r="AP11" s="201"/>
      <c r="AQ11" s="201"/>
      <c r="AR11" s="201"/>
      <c r="AS11" s="201"/>
      <c r="AT11" s="201"/>
      <c r="AU11" s="201"/>
      <c r="AV11" s="201"/>
      <c r="AW11" s="201"/>
      <c r="AX11" s="201"/>
    </row>
    <row r="12" spans="1:151">
      <c r="B12" s="217"/>
      <c r="C12" s="1895" t="str">
        <f>'Master Deails'!$H$24</f>
        <v xml:space="preserve">Account Officer </v>
      </c>
      <c r="D12" s="1895"/>
      <c r="E12" s="1895"/>
      <c r="F12" s="1895"/>
      <c r="G12" s="1895"/>
      <c r="H12" s="1895"/>
      <c r="I12" s="1895"/>
      <c r="J12" s="1895"/>
      <c r="K12" s="1895"/>
      <c r="L12" s="1895"/>
      <c r="M12" s="1895"/>
      <c r="N12" s="1895"/>
      <c r="O12" s="1895"/>
      <c r="P12" s="1895"/>
      <c r="Q12" s="1895"/>
      <c r="R12" s="1895"/>
      <c r="S12" s="1895"/>
      <c r="T12" s="1895"/>
      <c r="V12" s="1895" t="str">
        <f>'Master Deails'!$A$8</f>
        <v>KIRITCHANDRA JAYANTILAL PATEL</v>
      </c>
      <c r="W12" s="1895"/>
      <c r="X12" s="1895"/>
      <c r="Y12" s="1895"/>
      <c r="Z12" s="1895"/>
      <c r="AA12" s="1895"/>
      <c r="AB12" s="1895"/>
      <c r="AC12" s="1895"/>
      <c r="AD12" s="1895"/>
      <c r="AE12" s="1895"/>
      <c r="AF12" s="1895"/>
      <c r="AG12" s="1895"/>
      <c r="AH12" s="1895"/>
      <c r="AI12" s="1895"/>
      <c r="AJ12" s="1895"/>
      <c r="AK12" s="1895"/>
      <c r="AL12" s="1895"/>
      <c r="AM12" s="1895"/>
      <c r="AN12" s="209"/>
      <c r="AO12" s="209"/>
      <c r="AP12" s="201"/>
      <c r="AQ12" s="201"/>
      <c r="AR12" s="201"/>
      <c r="AS12" s="201"/>
      <c r="AT12" s="201"/>
      <c r="AU12" s="201"/>
      <c r="AV12" s="201"/>
      <c r="AW12" s="201"/>
      <c r="AX12" s="201"/>
    </row>
    <row r="13" spans="1:151" ht="10.5" customHeight="1">
      <c r="B13" s="217"/>
      <c r="C13" s="1895" t="str">
        <f>'Master Deails'!$H$26</f>
        <v>Ahwa</v>
      </c>
      <c r="D13" s="1895"/>
      <c r="E13" s="1895"/>
      <c r="F13" s="1895"/>
      <c r="G13" s="1895"/>
      <c r="H13" s="1895"/>
      <c r="I13" s="1895"/>
      <c r="J13" s="1895"/>
      <c r="K13" s="1895"/>
      <c r="L13" s="1895"/>
      <c r="M13" s="1895"/>
      <c r="N13" s="1895"/>
      <c r="O13" s="1895"/>
      <c r="P13" s="1895"/>
      <c r="Q13" s="1895"/>
      <c r="R13" s="1895"/>
      <c r="S13" s="1895"/>
      <c r="T13" s="1895"/>
      <c r="V13" s="1895" t="str">
        <f>'Master Deails'!$H$18</f>
        <v>Retired PS 2 DDO Dangs</v>
      </c>
      <c r="W13" s="1895"/>
      <c r="X13" s="1895"/>
      <c r="Y13" s="1895"/>
      <c r="Z13" s="1895"/>
      <c r="AA13" s="1895"/>
      <c r="AB13" s="1895"/>
      <c r="AC13" s="1895"/>
      <c r="AD13" s="1895"/>
      <c r="AE13" s="1895"/>
      <c r="AF13" s="1895"/>
      <c r="AG13" s="1895"/>
      <c r="AH13" s="1895"/>
      <c r="AI13" s="1895"/>
      <c r="AJ13" s="1895"/>
      <c r="AK13" s="1895"/>
      <c r="AL13" s="1895"/>
      <c r="AM13" s="1895"/>
      <c r="AN13" s="209"/>
      <c r="AO13" s="209"/>
      <c r="AP13" s="201"/>
      <c r="AQ13" s="201"/>
      <c r="AR13" s="201"/>
      <c r="AS13" s="201"/>
      <c r="AT13" s="201"/>
      <c r="AU13" s="201"/>
      <c r="AV13" s="201"/>
      <c r="AW13" s="201"/>
      <c r="AX13" s="201"/>
    </row>
    <row r="14" spans="1:151" ht="17.100000000000001" customHeight="1">
      <c r="B14" s="217"/>
      <c r="C14" s="1889" t="s">
        <v>215</v>
      </c>
      <c r="D14" s="1890"/>
      <c r="E14" s="1890"/>
      <c r="F14" s="1890"/>
      <c r="G14" s="1890"/>
      <c r="H14" s="1890"/>
      <c r="I14" s="1890"/>
      <c r="J14" s="1890"/>
      <c r="K14" s="1891"/>
      <c r="L14" s="1889" t="s">
        <v>216</v>
      </c>
      <c r="M14" s="1890"/>
      <c r="N14" s="1890"/>
      <c r="O14" s="1890"/>
      <c r="P14" s="1890"/>
      <c r="Q14" s="1890"/>
      <c r="R14" s="1890"/>
      <c r="S14" s="1890"/>
      <c r="T14" s="1891"/>
      <c r="U14" s="219"/>
      <c r="V14" s="1889" t="s">
        <v>217</v>
      </c>
      <c r="W14" s="1890"/>
      <c r="X14" s="1890"/>
      <c r="Y14" s="1890"/>
      <c r="Z14" s="1890"/>
      <c r="AA14" s="1890"/>
      <c r="AB14" s="1890"/>
      <c r="AC14" s="1890"/>
      <c r="AD14" s="1890"/>
      <c r="AE14" s="1890"/>
      <c r="AF14" s="1890"/>
      <c r="AG14" s="1890"/>
      <c r="AH14" s="1890"/>
      <c r="AI14" s="1890"/>
      <c r="AJ14" s="1890"/>
      <c r="AK14" s="1890"/>
      <c r="AL14" s="1890"/>
      <c r="AM14" s="1891"/>
      <c r="AN14" s="209"/>
      <c r="AO14" s="209"/>
      <c r="AP14" s="201"/>
      <c r="AQ14" s="201"/>
      <c r="AR14" s="201"/>
      <c r="AS14" s="201"/>
      <c r="AT14" s="201"/>
      <c r="AU14" s="201"/>
      <c r="AV14" s="201"/>
      <c r="AW14" s="201"/>
      <c r="AX14" s="201"/>
    </row>
    <row r="15" spans="1:151" ht="8.25" customHeight="1">
      <c r="B15" s="217"/>
      <c r="C15" s="220"/>
      <c r="D15" s="221"/>
      <c r="E15" s="1917" t="s">
        <v>218</v>
      </c>
      <c r="F15" s="1917"/>
      <c r="G15" s="1917"/>
      <c r="H15" s="1917"/>
      <c r="I15" s="1917"/>
      <c r="J15" s="1917"/>
      <c r="K15" s="222"/>
      <c r="L15" s="220"/>
      <c r="M15" s="221"/>
      <c r="N15" s="1895" t="str">
        <f>'Master Deails'!$H$21</f>
        <v>SRTD01139F</v>
      </c>
      <c r="O15" s="1895"/>
      <c r="P15" s="1895"/>
      <c r="Q15" s="1895"/>
      <c r="R15" s="1895"/>
      <c r="S15" s="221"/>
      <c r="T15" s="222"/>
      <c r="V15" s="223"/>
      <c r="W15" s="224"/>
      <c r="X15" s="224"/>
      <c r="Y15" s="1895" t="str">
        <f>'Master Deails'!$H$19</f>
        <v>ACFPP3047F</v>
      </c>
      <c r="Z15" s="1895"/>
      <c r="AA15" s="1895"/>
      <c r="AB15" s="1895"/>
      <c r="AC15" s="1895"/>
      <c r="AD15" s="1895"/>
      <c r="AE15" s="1895"/>
      <c r="AF15" s="1895"/>
      <c r="AG15" s="1895"/>
      <c r="AH15" s="1895"/>
      <c r="AI15" s="1895"/>
      <c r="AJ15" s="1893" t="str">
        <f>UPPER(MID('[5]Other Deails'!$H$17,K1,1))</f>
        <v/>
      </c>
      <c r="AK15" s="224"/>
      <c r="AL15" s="224"/>
      <c r="AM15" s="225"/>
      <c r="AN15" s="209"/>
      <c r="AO15" s="209"/>
      <c r="AP15" s="201"/>
      <c r="AQ15" s="201"/>
      <c r="AR15" s="201"/>
      <c r="AS15" s="201"/>
      <c r="AT15" s="201"/>
      <c r="AU15" s="201"/>
      <c r="AV15" s="201"/>
      <c r="AW15" s="201"/>
      <c r="AX15" s="201"/>
    </row>
    <row r="16" spans="1:151" ht="8.25" customHeight="1">
      <c r="B16" s="217"/>
      <c r="C16" s="226"/>
      <c r="D16" s="227"/>
      <c r="E16" s="1918"/>
      <c r="F16" s="1918"/>
      <c r="G16" s="1918"/>
      <c r="H16" s="1918"/>
      <c r="I16" s="1918"/>
      <c r="J16" s="1918"/>
      <c r="K16" s="228"/>
      <c r="L16" s="226"/>
      <c r="M16" s="227"/>
      <c r="N16" s="1896"/>
      <c r="O16" s="1896"/>
      <c r="P16" s="1896"/>
      <c r="Q16" s="1896"/>
      <c r="R16" s="1896"/>
      <c r="S16" s="227"/>
      <c r="T16" s="228"/>
      <c r="V16" s="229"/>
      <c r="W16" s="230"/>
      <c r="X16" s="230"/>
      <c r="Y16" s="1896"/>
      <c r="Z16" s="1896"/>
      <c r="AA16" s="1896"/>
      <c r="AB16" s="1896"/>
      <c r="AC16" s="1896"/>
      <c r="AD16" s="1896"/>
      <c r="AE16" s="1896"/>
      <c r="AF16" s="1896"/>
      <c r="AG16" s="1896"/>
      <c r="AH16" s="1896"/>
      <c r="AI16" s="1896"/>
      <c r="AJ16" s="1894"/>
      <c r="AK16" s="230"/>
      <c r="AL16" s="230"/>
      <c r="AM16" s="231"/>
      <c r="AN16" s="209"/>
      <c r="AO16" s="209"/>
      <c r="AP16" s="201"/>
      <c r="AQ16" s="201"/>
      <c r="AR16" s="201"/>
      <c r="AS16" s="201"/>
      <c r="AT16" s="201"/>
      <c r="AU16" s="201"/>
      <c r="AV16" s="201"/>
      <c r="AW16" s="201"/>
      <c r="AX16" s="201"/>
    </row>
    <row r="17" spans="2:50" ht="13.5" customHeight="1">
      <c r="B17" s="217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  <c r="AP17" s="201"/>
      <c r="AQ17" s="201"/>
      <c r="AR17" s="201"/>
      <c r="AS17" s="201"/>
      <c r="AT17" s="201"/>
      <c r="AU17" s="201"/>
      <c r="AV17" s="201"/>
      <c r="AW17" s="201"/>
      <c r="AX17" s="201"/>
    </row>
    <row r="18" spans="2:50" ht="13.5" customHeight="1">
      <c r="B18" s="217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11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  <c r="AP18" s="201"/>
      <c r="AQ18" s="201"/>
      <c r="AR18" s="201"/>
      <c r="AS18" s="201"/>
      <c r="AT18" s="201"/>
      <c r="AU18" s="201"/>
      <c r="AV18" s="201"/>
      <c r="AW18" s="201"/>
      <c r="AX18" s="201"/>
    </row>
    <row r="19" spans="2:50" ht="7.5" customHeight="1">
      <c r="B19" s="217"/>
      <c r="C19" s="232"/>
      <c r="D19" s="1901" t="s">
        <v>219</v>
      </c>
      <c r="E19" s="1901"/>
      <c r="F19" s="1901"/>
      <c r="G19" s="1901"/>
      <c r="H19" s="1901"/>
      <c r="I19" s="1901"/>
      <c r="J19" s="1901"/>
      <c r="K19" s="1901"/>
      <c r="L19" s="1901"/>
      <c r="M19" s="1901"/>
      <c r="N19" s="1901"/>
      <c r="O19" s="1901"/>
      <c r="P19" s="1901"/>
      <c r="Q19" s="1901"/>
      <c r="R19" s="1901"/>
      <c r="S19" s="1901"/>
      <c r="T19" s="233"/>
      <c r="U19" s="1900" t="s">
        <v>75</v>
      </c>
      <c r="V19" s="1901"/>
      <c r="W19" s="1901"/>
      <c r="X19" s="1901"/>
      <c r="Y19" s="1901"/>
      <c r="Z19" s="1901"/>
      <c r="AA19" s="1901"/>
      <c r="AB19" s="1901"/>
      <c r="AC19" s="1902"/>
      <c r="AD19" s="234"/>
      <c r="AE19" s="1900" t="s">
        <v>220</v>
      </c>
      <c r="AF19" s="1901"/>
      <c r="AG19" s="1901"/>
      <c r="AH19" s="1901"/>
      <c r="AI19" s="1901"/>
      <c r="AJ19" s="1901"/>
      <c r="AK19" s="1901"/>
      <c r="AL19" s="1901"/>
      <c r="AM19" s="1901"/>
      <c r="AN19" s="1902"/>
      <c r="AO19" s="209"/>
      <c r="AP19" s="201"/>
      <c r="AQ19" s="201"/>
      <c r="AR19" s="201"/>
      <c r="AS19" s="201"/>
      <c r="AT19" s="201"/>
      <c r="AU19" s="201"/>
      <c r="AV19" s="201"/>
      <c r="AW19" s="201"/>
      <c r="AX19" s="201"/>
    </row>
    <row r="20" spans="2:50" ht="7.5" customHeight="1">
      <c r="B20" s="217"/>
      <c r="C20" s="235"/>
      <c r="D20" s="1904"/>
      <c r="E20" s="1904"/>
      <c r="F20" s="1904"/>
      <c r="G20" s="1904"/>
      <c r="H20" s="1904"/>
      <c r="I20" s="1904"/>
      <c r="J20" s="1904"/>
      <c r="K20" s="1904"/>
      <c r="L20" s="1904"/>
      <c r="M20" s="1904"/>
      <c r="N20" s="1904"/>
      <c r="O20" s="1904"/>
      <c r="P20" s="1904"/>
      <c r="Q20" s="1904"/>
      <c r="R20" s="1904"/>
      <c r="S20" s="1904"/>
      <c r="T20" s="236"/>
      <c r="U20" s="1903"/>
      <c r="V20" s="1904"/>
      <c r="W20" s="1904"/>
      <c r="X20" s="1904"/>
      <c r="Y20" s="1904"/>
      <c r="Z20" s="1904"/>
      <c r="AA20" s="1904"/>
      <c r="AB20" s="1904"/>
      <c r="AC20" s="1905"/>
      <c r="AD20" s="234"/>
      <c r="AE20" s="1903"/>
      <c r="AF20" s="1904"/>
      <c r="AG20" s="1904"/>
      <c r="AH20" s="1904"/>
      <c r="AI20" s="1904"/>
      <c r="AJ20" s="1904"/>
      <c r="AK20" s="1904"/>
      <c r="AL20" s="1904"/>
      <c r="AM20" s="1904"/>
      <c r="AN20" s="1905"/>
      <c r="AO20" s="209"/>
      <c r="AP20" s="201"/>
      <c r="AQ20" s="201"/>
      <c r="AR20" s="201"/>
      <c r="AS20" s="201"/>
      <c r="AT20" s="201"/>
      <c r="AU20" s="201"/>
      <c r="AV20" s="201"/>
      <c r="AW20" s="201"/>
      <c r="AX20" s="201"/>
    </row>
    <row r="21" spans="2:50" ht="7.5" customHeight="1">
      <c r="B21" s="217"/>
      <c r="C21" s="235"/>
      <c r="T21" s="236"/>
      <c r="U21" s="1903"/>
      <c r="V21" s="1904"/>
      <c r="W21" s="1904"/>
      <c r="X21" s="1904"/>
      <c r="Y21" s="1904"/>
      <c r="Z21" s="1904"/>
      <c r="AA21" s="1904"/>
      <c r="AB21" s="1904"/>
      <c r="AC21" s="1905"/>
      <c r="AD21" s="234"/>
      <c r="AE21" s="1906"/>
      <c r="AF21" s="1907"/>
      <c r="AG21" s="1907"/>
      <c r="AH21" s="1907"/>
      <c r="AI21" s="1907"/>
      <c r="AJ21" s="1907"/>
      <c r="AK21" s="1907"/>
      <c r="AL21" s="1907"/>
      <c r="AM21" s="1907"/>
      <c r="AN21" s="1908"/>
      <c r="AO21" s="209"/>
      <c r="AP21" s="201"/>
      <c r="AQ21" s="201"/>
      <c r="AR21" s="201"/>
      <c r="AS21" s="201"/>
      <c r="AT21" s="201"/>
      <c r="AU21" s="201"/>
      <c r="AV21" s="201"/>
      <c r="AW21" s="201"/>
      <c r="AX21" s="201"/>
    </row>
    <row r="22" spans="2:50">
      <c r="B22" s="217"/>
      <c r="C22" s="235"/>
      <c r="D22" s="218" t="s">
        <v>221</v>
      </c>
      <c r="E22" s="237"/>
      <c r="F22" s="237"/>
      <c r="G22" s="1892" t="s">
        <v>325</v>
      </c>
      <c r="H22" s="1892"/>
      <c r="I22" s="1892"/>
      <c r="J22" s="1892"/>
      <c r="K22" s="1892"/>
      <c r="L22" s="1892"/>
      <c r="M22" s="1892"/>
      <c r="N22" s="1892"/>
      <c r="O22" s="1892"/>
      <c r="P22" s="1892"/>
      <c r="Q22" s="1892"/>
      <c r="R22" s="1892"/>
      <c r="S22" s="1892"/>
      <c r="T22" s="236"/>
      <c r="U22" s="235"/>
      <c r="V22" s="238"/>
      <c r="W22" s="238"/>
      <c r="X22" s="238"/>
      <c r="Y22" s="238"/>
      <c r="Z22" s="239"/>
      <c r="AA22" s="239"/>
      <c r="AC22" s="236"/>
      <c r="AD22" s="234"/>
      <c r="AE22" s="1889" t="s">
        <v>222</v>
      </c>
      <c r="AF22" s="1890"/>
      <c r="AG22" s="1890"/>
      <c r="AH22" s="1890"/>
      <c r="AI22" s="1891"/>
      <c r="AJ22" s="1889" t="s">
        <v>223</v>
      </c>
      <c r="AK22" s="1890"/>
      <c r="AL22" s="1890"/>
      <c r="AM22" s="1890"/>
      <c r="AN22" s="1891"/>
      <c r="AO22" s="209"/>
      <c r="AP22" s="201"/>
      <c r="AQ22" s="201"/>
      <c r="AR22" s="201"/>
      <c r="AS22" s="201"/>
      <c r="AT22" s="201"/>
      <c r="AU22" s="201"/>
      <c r="AV22" s="201"/>
      <c r="AW22" s="201"/>
      <c r="AX22" s="201"/>
    </row>
    <row r="23" spans="2:50">
      <c r="B23" s="217"/>
      <c r="C23" s="235"/>
      <c r="D23" s="1912" t="s">
        <v>312</v>
      </c>
      <c r="E23" s="1912"/>
      <c r="F23" s="1912"/>
      <c r="G23" s="1912"/>
      <c r="H23" s="1912"/>
      <c r="I23" s="1912"/>
      <c r="J23" s="1912"/>
      <c r="K23" s="1912"/>
      <c r="L23" s="1912"/>
      <c r="M23" s="1912"/>
      <c r="N23" s="1912"/>
      <c r="O23" s="1912"/>
      <c r="P23" s="1912"/>
      <c r="Q23" s="1912"/>
      <c r="R23" s="1912"/>
      <c r="S23" s="1912"/>
      <c r="T23" s="236"/>
      <c r="U23" s="235"/>
      <c r="V23" s="1913">
        <f>'Master Deails'!G2</f>
        <v>44562</v>
      </c>
      <c r="W23" s="1913"/>
      <c r="X23" s="1913"/>
      <c r="Y23" s="1914">
        <f>'Master Deails'!H2</f>
        <v>45119</v>
      </c>
      <c r="Z23" s="1914"/>
      <c r="AA23" s="1914"/>
      <c r="AB23" s="1914"/>
      <c r="AC23" s="236"/>
      <c r="AD23" s="240"/>
      <c r="AE23" s="1869">
        <f>'Master Deails'!C2+31</f>
        <v>44287</v>
      </c>
      <c r="AF23" s="1870"/>
      <c r="AG23" s="1870"/>
      <c r="AH23" s="1870"/>
      <c r="AI23" s="1871"/>
      <c r="AJ23" s="1869">
        <f>AE23+30+30+30</f>
        <v>44377</v>
      </c>
      <c r="AK23" s="1870"/>
      <c r="AL23" s="1870"/>
      <c r="AM23" s="1870"/>
      <c r="AN23" s="1871"/>
      <c r="AO23" s="209"/>
      <c r="AP23" s="201"/>
      <c r="AQ23" s="201"/>
      <c r="AR23" s="201"/>
      <c r="AS23" s="201"/>
      <c r="AT23" s="201"/>
      <c r="AU23" s="201"/>
      <c r="AV23" s="201"/>
      <c r="AW23" s="201"/>
      <c r="AX23" s="201"/>
    </row>
    <row r="24" spans="2:50">
      <c r="B24" s="217"/>
      <c r="C24" s="235"/>
      <c r="D24" s="1909" t="s">
        <v>326</v>
      </c>
      <c r="E24" s="1909"/>
      <c r="F24" s="1909"/>
      <c r="G24" s="1909"/>
      <c r="H24" s="1909"/>
      <c r="I24" s="1909"/>
      <c r="J24" s="1909"/>
      <c r="K24" s="1909"/>
      <c r="L24" s="1909"/>
      <c r="M24" s="1909"/>
      <c r="N24" s="1909"/>
      <c r="O24" s="1909"/>
      <c r="P24" s="1909"/>
      <c r="Q24" s="1909"/>
      <c r="R24" s="1909"/>
      <c r="S24" s="1909"/>
      <c r="T24" s="236"/>
      <c r="U24" s="235"/>
      <c r="V24" s="1913"/>
      <c r="W24" s="1913"/>
      <c r="X24" s="1913"/>
      <c r="Y24" s="1914"/>
      <c r="Z24" s="1914"/>
      <c r="AA24" s="1914"/>
      <c r="AB24" s="1914"/>
      <c r="AC24" s="236"/>
      <c r="AD24" s="240"/>
      <c r="AE24" s="1869">
        <f>AJ23+1</f>
        <v>44378</v>
      </c>
      <c r="AF24" s="1870"/>
      <c r="AG24" s="1870"/>
      <c r="AH24" s="1870"/>
      <c r="AI24" s="1871"/>
      <c r="AJ24" s="1869">
        <f>AE24+91</f>
        <v>44469</v>
      </c>
      <c r="AK24" s="1870"/>
      <c r="AL24" s="1870"/>
      <c r="AM24" s="1870"/>
      <c r="AN24" s="1871"/>
      <c r="AO24" s="209"/>
      <c r="AP24" s="201"/>
      <c r="AQ24" s="201"/>
      <c r="AR24" s="201"/>
      <c r="AS24" s="201"/>
      <c r="AT24" s="201"/>
      <c r="AU24" s="201"/>
      <c r="AV24" s="201"/>
      <c r="AW24" s="201"/>
      <c r="AX24" s="201"/>
    </row>
    <row r="25" spans="2:50">
      <c r="B25" s="217"/>
      <c r="C25" s="235"/>
      <c r="D25" s="268" t="s">
        <v>224</v>
      </c>
      <c r="E25" s="241"/>
      <c r="F25" s="1911" t="str">
        <f>'Master Deails'!H20</f>
        <v>Valsad</v>
      </c>
      <c r="G25" s="1911"/>
      <c r="H25" s="1911"/>
      <c r="I25" s="1911"/>
      <c r="J25" s="1911"/>
      <c r="K25" s="1911"/>
      <c r="L25" s="1911"/>
      <c r="M25" s="1911"/>
      <c r="N25" s="367" t="s">
        <v>225</v>
      </c>
      <c r="O25" s="242"/>
      <c r="P25" s="242"/>
      <c r="Q25" s="1910">
        <v>396445</v>
      </c>
      <c r="R25" s="1910"/>
      <c r="S25" s="1910"/>
      <c r="T25" s="236"/>
      <c r="U25" s="235"/>
      <c r="V25" s="238"/>
      <c r="W25" s="238"/>
      <c r="X25" s="238"/>
      <c r="Y25" s="238"/>
      <c r="Z25" s="239"/>
      <c r="AA25" s="239"/>
      <c r="AC25" s="236"/>
      <c r="AD25" s="240"/>
      <c r="AE25" s="1869">
        <f>AJ24+1</f>
        <v>44470</v>
      </c>
      <c r="AF25" s="1870"/>
      <c r="AG25" s="1870"/>
      <c r="AH25" s="1870"/>
      <c r="AI25" s="1871"/>
      <c r="AJ25" s="1869">
        <f>AE25+91</f>
        <v>44561</v>
      </c>
      <c r="AK25" s="1870"/>
      <c r="AL25" s="1870"/>
      <c r="AM25" s="1870"/>
      <c r="AN25" s="1871"/>
      <c r="AO25" s="209"/>
      <c r="AP25" s="201"/>
      <c r="AQ25" s="201"/>
      <c r="AR25" s="201"/>
      <c r="AS25" s="201"/>
      <c r="AT25" s="201"/>
      <c r="AU25" s="201"/>
      <c r="AV25" s="201"/>
      <c r="AW25" s="201"/>
      <c r="AX25" s="201"/>
    </row>
    <row r="26" spans="2:50">
      <c r="B26" s="217"/>
      <c r="C26" s="243"/>
      <c r="D26" s="244"/>
      <c r="E26" s="244"/>
      <c r="F26" s="244"/>
      <c r="G26" s="244"/>
      <c r="H26" s="244"/>
      <c r="I26" s="244"/>
      <c r="J26" s="244"/>
      <c r="K26" s="245"/>
      <c r="L26" s="245"/>
      <c r="M26" s="245"/>
      <c r="N26" s="245"/>
      <c r="O26" s="245"/>
      <c r="P26" s="245"/>
      <c r="Q26" s="245"/>
      <c r="R26" s="245"/>
      <c r="S26" s="245"/>
      <c r="T26" s="246"/>
      <c r="U26" s="243"/>
      <c r="V26" s="247"/>
      <c r="W26" s="247"/>
      <c r="X26" s="247"/>
      <c r="Y26" s="247"/>
      <c r="Z26" s="248"/>
      <c r="AA26" s="248"/>
      <c r="AB26" s="249"/>
      <c r="AC26" s="246"/>
      <c r="AD26" s="240"/>
      <c r="AE26" s="1869">
        <f>AJ25+1</f>
        <v>44562</v>
      </c>
      <c r="AF26" s="1870"/>
      <c r="AG26" s="1870"/>
      <c r="AH26" s="1870"/>
      <c r="AI26" s="1871"/>
      <c r="AJ26" s="1869">
        <f>AE26+28+30+31</f>
        <v>44651</v>
      </c>
      <c r="AK26" s="1870"/>
      <c r="AL26" s="1870"/>
      <c r="AM26" s="1870"/>
      <c r="AN26" s="1871"/>
      <c r="AO26" s="209"/>
      <c r="AP26" s="201"/>
      <c r="AQ26" s="201"/>
      <c r="AR26" s="201"/>
      <c r="AS26" s="201"/>
      <c r="AT26" s="201"/>
      <c r="AU26" s="201"/>
      <c r="AV26" s="201"/>
      <c r="AW26" s="201"/>
      <c r="AX26" s="201"/>
    </row>
    <row r="27" spans="2:50" ht="5.25" customHeight="1">
      <c r="B27" s="217"/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11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1"/>
      <c r="AQ27" s="201"/>
      <c r="AR27" s="201"/>
      <c r="AS27" s="201"/>
      <c r="AT27" s="201"/>
      <c r="AU27" s="201"/>
      <c r="AV27" s="201"/>
      <c r="AW27" s="201"/>
      <c r="AX27" s="201"/>
    </row>
    <row r="28" spans="2:50">
      <c r="B28" s="217"/>
      <c r="C28" s="251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3" t="s">
        <v>226</v>
      </c>
      <c r="U28" s="254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2"/>
      <c r="AG28" s="252"/>
      <c r="AH28" s="252"/>
      <c r="AI28" s="252"/>
      <c r="AJ28" s="252"/>
      <c r="AK28" s="252"/>
      <c r="AL28" s="252"/>
      <c r="AM28" s="255"/>
      <c r="AN28" s="209"/>
      <c r="AO28" s="209"/>
      <c r="AP28" s="201"/>
      <c r="AQ28" s="201"/>
      <c r="AR28" s="201"/>
      <c r="AS28" s="201"/>
      <c r="AT28" s="201"/>
      <c r="AU28" s="201"/>
      <c r="AV28" s="201"/>
      <c r="AW28" s="201"/>
      <c r="AX28" s="201"/>
    </row>
    <row r="29" spans="2:50" ht="15" customHeight="1">
      <c r="B29" s="217"/>
      <c r="C29" s="234"/>
      <c r="D29" s="1915" t="s">
        <v>227</v>
      </c>
      <c r="E29" s="1915"/>
      <c r="F29" s="1915"/>
      <c r="G29" s="1915"/>
      <c r="H29" s="1915"/>
      <c r="I29" s="1915"/>
      <c r="J29" s="1915"/>
      <c r="K29" s="1916" t="s">
        <v>228</v>
      </c>
      <c r="L29" s="1916"/>
      <c r="M29" s="1916"/>
      <c r="N29" s="1916"/>
      <c r="O29" s="1916"/>
      <c r="P29" s="1916"/>
      <c r="Q29" s="1916"/>
      <c r="R29" s="1916"/>
      <c r="S29" s="1916"/>
      <c r="T29" s="256"/>
      <c r="U29" s="1873" t="s">
        <v>229</v>
      </c>
      <c r="V29" s="1874"/>
      <c r="W29" s="1874"/>
      <c r="X29" s="1874"/>
      <c r="Y29" s="1874"/>
      <c r="Z29" s="1874"/>
      <c r="AA29" s="1874"/>
      <c r="AB29" s="1874"/>
      <c r="AC29" s="1875"/>
      <c r="AD29" s="387"/>
      <c r="AE29" s="1873" t="s">
        <v>230</v>
      </c>
      <c r="AF29" s="1874"/>
      <c r="AG29" s="1874"/>
      <c r="AH29" s="1874"/>
      <c r="AI29" s="1874"/>
      <c r="AJ29" s="1874"/>
      <c r="AK29" s="1874"/>
      <c r="AL29" s="1874"/>
      <c r="AM29" s="387"/>
      <c r="AN29" s="209"/>
      <c r="AO29" s="209"/>
      <c r="AP29" s="201"/>
      <c r="AQ29" s="201"/>
      <c r="AR29" s="201"/>
      <c r="AS29" s="201"/>
      <c r="AT29" s="201"/>
      <c r="AU29" s="201"/>
      <c r="AV29" s="201"/>
      <c r="AW29" s="201"/>
      <c r="AX29" s="201"/>
    </row>
    <row r="30" spans="2:50">
      <c r="B30" s="217"/>
      <c r="C30" s="234"/>
      <c r="D30" s="1915"/>
      <c r="E30" s="1915"/>
      <c r="F30" s="1915"/>
      <c r="G30" s="1915"/>
      <c r="H30" s="1915"/>
      <c r="I30" s="1915"/>
      <c r="J30" s="1915"/>
      <c r="K30" s="1916"/>
      <c r="L30" s="1916"/>
      <c r="M30" s="1916"/>
      <c r="N30" s="1916"/>
      <c r="O30" s="1916"/>
      <c r="P30" s="1916"/>
      <c r="Q30" s="1916"/>
      <c r="R30" s="1916"/>
      <c r="S30" s="1916"/>
      <c r="T30" s="256"/>
      <c r="U30" s="1876"/>
      <c r="V30" s="1877"/>
      <c r="W30" s="1877"/>
      <c r="X30" s="1877"/>
      <c r="Y30" s="1877"/>
      <c r="Z30" s="1877"/>
      <c r="AA30" s="1877"/>
      <c r="AB30" s="1877"/>
      <c r="AC30" s="1878"/>
      <c r="AD30" s="388"/>
      <c r="AE30" s="1876"/>
      <c r="AF30" s="1877"/>
      <c r="AG30" s="1877"/>
      <c r="AH30" s="1877"/>
      <c r="AI30" s="1877"/>
      <c r="AJ30" s="1877"/>
      <c r="AK30" s="1877"/>
      <c r="AL30" s="1877"/>
      <c r="AM30" s="388"/>
      <c r="AN30" s="209"/>
      <c r="AO30" s="209"/>
      <c r="AP30" s="201"/>
      <c r="AQ30" s="201"/>
      <c r="AR30" s="201"/>
      <c r="AS30" s="201"/>
      <c r="AT30" s="201"/>
      <c r="AU30" s="201"/>
      <c r="AV30" s="201"/>
      <c r="AW30" s="201"/>
      <c r="AX30" s="201"/>
    </row>
    <row r="31" spans="2:50">
      <c r="B31" s="217"/>
      <c r="C31" s="235"/>
      <c r="D31" s="1915"/>
      <c r="E31" s="1915"/>
      <c r="F31" s="1915"/>
      <c r="G31" s="1915"/>
      <c r="H31" s="1915"/>
      <c r="I31" s="1915"/>
      <c r="J31" s="1915"/>
      <c r="K31" s="1916"/>
      <c r="L31" s="1916"/>
      <c r="M31" s="1916"/>
      <c r="N31" s="1916"/>
      <c r="O31" s="1916"/>
      <c r="P31" s="1916"/>
      <c r="Q31" s="1916"/>
      <c r="R31" s="1916"/>
      <c r="S31" s="1916"/>
      <c r="T31" s="256"/>
      <c r="U31" s="1876"/>
      <c r="V31" s="1877"/>
      <c r="W31" s="1877"/>
      <c r="X31" s="1877"/>
      <c r="Y31" s="1877"/>
      <c r="Z31" s="1877"/>
      <c r="AA31" s="1877"/>
      <c r="AB31" s="1877"/>
      <c r="AC31" s="1878"/>
      <c r="AD31" s="388"/>
      <c r="AE31" s="1876"/>
      <c r="AF31" s="1877"/>
      <c r="AG31" s="1877"/>
      <c r="AH31" s="1877"/>
      <c r="AI31" s="1877"/>
      <c r="AJ31" s="1877"/>
      <c r="AK31" s="1877"/>
      <c r="AL31" s="1877"/>
      <c r="AM31" s="388"/>
      <c r="AN31" s="209"/>
      <c r="AO31" s="209"/>
      <c r="AP31" s="201"/>
      <c r="AQ31" s="201"/>
      <c r="AR31" s="201"/>
      <c r="AS31" s="201"/>
      <c r="AT31" s="201"/>
      <c r="AU31" s="201"/>
      <c r="AV31" s="201"/>
      <c r="AW31" s="201"/>
      <c r="AX31" s="201"/>
    </row>
    <row r="32" spans="2:50">
      <c r="B32" s="217"/>
      <c r="C32" s="235"/>
      <c r="D32" s="1915"/>
      <c r="E32" s="1915"/>
      <c r="F32" s="1915"/>
      <c r="G32" s="1915"/>
      <c r="H32" s="1915"/>
      <c r="I32" s="1915"/>
      <c r="J32" s="1915"/>
      <c r="K32" s="1916"/>
      <c r="L32" s="1916"/>
      <c r="M32" s="1916"/>
      <c r="N32" s="1916"/>
      <c r="O32" s="1916"/>
      <c r="P32" s="1916"/>
      <c r="Q32" s="1916"/>
      <c r="R32" s="1916"/>
      <c r="S32" s="1916"/>
      <c r="T32" s="256"/>
      <c r="U32" s="1879"/>
      <c r="V32" s="1880"/>
      <c r="W32" s="1880"/>
      <c r="X32" s="1880"/>
      <c r="Y32" s="1880"/>
      <c r="Z32" s="1880"/>
      <c r="AA32" s="1880"/>
      <c r="AB32" s="1880"/>
      <c r="AC32" s="1881"/>
      <c r="AD32" s="388"/>
      <c r="AE32" s="1876"/>
      <c r="AF32" s="1877"/>
      <c r="AG32" s="1877"/>
      <c r="AH32" s="1877"/>
      <c r="AI32" s="1877"/>
      <c r="AJ32" s="1877"/>
      <c r="AK32" s="1877"/>
      <c r="AL32" s="1877"/>
      <c r="AM32" s="388"/>
      <c r="AN32" s="209"/>
      <c r="AO32" s="209"/>
      <c r="AP32" s="201"/>
      <c r="AQ32" s="201"/>
      <c r="AR32" s="201"/>
      <c r="AS32" s="201"/>
      <c r="AT32" s="201"/>
      <c r="AU32" s="201"/>
      <c r="AV32" s="201"/>
      <c r="AW32" s="201"/>
      <c r="AX32" s="201"/>
    </row>
    <row r="33" spans="2:51">
      <c r="B33" s="217"/>
      <c r="C33" s="235"/>
      <c r="D33" s="1885" t="s">
        <v>310</v>
      </c>
      <c r="E33" s="1885"/>
      <c r="F33" s="1885"/>
      <c r="G33" s="1885"/>
      <c r="H33" s="1885"/>
      <c r="I33" s="1885"/>
      <c r="J33" s="1885"/>
      <c r="K33" s="1872">
        <v>25000</v>
      </c>
      <c r="L33" s="1872"/>
      <c r="M33" s="1872"/>
      <c r="N33" s="1872"/>
      <c r="O33" s="1872"/>
      <c r="P33" s="1872"/>
      <c r="Q33" s="1872"/>
      <c r="R33" s="1872"/>
      <c r="S33" s="1872"/>
      <c r="T33" s="256"/>
      <c r="U33" s="1872">
        <v>3600</v>
      </c>
      <c r="V33" s="1872"/>
      <c r="W33" s="1872"/>
      <c r="X33" s="1872"/>
      <c r="Y33" s="1872"/>
      <c r="Z33" s="1872"/>
      <c r="AA33" s="1872"/>
      <c r="AB33" s="1872"/>
      <c r="AC33" s="1872"/>
      <c r="AD33" s="257"/>
      <c r="AE33" s="1872">
        <f>900*4</f>
        <v>3600</v>
      </c>
      <c r="AF33" s="1872"/>
      <c r="AG33" s="1872"/>
      <c r="AH33" s="1872"/>
      <c r="AI33" s="1872"/>
      <c r="AJ33" s="1872"/>
      <c r="AK33" s="1872"/>
      <c r="AL33" s="1872"/>
      <c r="AM33" s="1872"/>
      <c r="AN33" s="209"/>
      <c r="AO33" s="209"/>
      <c r="AP33" s="201"/>
      <c r="AQ33" s="201"/>
      <c r="AR33" s="201"/>
      <c r="AS33" s="201"/>
      <c r="AT33" s="201"/>
      <c r="AU33" s="201"/>
      <c r="AV33" s="201"/>
      <c r="AW33" s="201"/>
      <c r="AX33" s="201"/>
    </row>
    <row r="34" spans="2:51">
      <c r="B34" s="217"/>
      <c r="C34" s="235"/>
      <c r="D34" s="1885" t="s">
        <v>311</v>
      </c>
      <c r="E34" s="1885"/>
      <c r="F34" s="1885"/>
      <c r="G34" s="1885"/>
      <c r="H34" s="1885"/>
      <c r="I34" s="1885"/>
      <c r="J34" s="1885"/>
      <c r="K34" s="1872">
        <v>26000</v>
      </c>
      <c r="L34" s="1872"/>
      <c r="M34" s="1872"/>
      <c r="N34" s="1872"/>
      <c r="O34" s="1872"/>
      <c r="P34" s="1872"/>
      <c r="Q34" s="1872"/>
      <c r="R34" s="1872"/>
      <c r="S34" s="1872"/>
      <c r="T34" s="256"/>
      <c r="U34" s="1872">
        <f>U33</f>
        <v>3600</v>
      </c>
      <c r="V34" s="1872"/>
      <c r="W34" s="1872"/>
      <c r="X34" s="1872"/>
      <c r="Y34" s="1872"/>
      <c r="Z34" s="1872"/>
      <c r="AA34" s="1872"/>
      <c r="AB34" s="1872"/>
      <c r="AC34" s="1872"/>
      <c r="AD34" s="257"/>
      <c r="AE34" s="1872">
        <f>AE33</f>
        <v>3600</v>
      </c>
      <c r="AF34" s="1872"/>
      <c r="AG34" s="1872"/>
      <c r="AH34" s="1872"/>
      <c r="AI34" s="1872"/>
      <c r="AJ34" s="1872"/>
      <c r="AK34" s="1872"/>
      <c r="AL34" s="1872"/>
      <c r="AM34" s="1872"/>
      <c r="AN34" s="209"/>
      <c r="AO34" s="209"/>
      <c r="AP34" s="201"/>
      <c r="AQ34" s="201"/>
      <c r="AR34" s="201"/>
      <c r="AS34" s="201"/>
      <c r="AT34" s="201"/>
      <c r="AU34" s="201"/>
      <c r="AV34" s="201"/>
      <c r="AW34" s="201"/>
      <c r="AX34" s="201"/>
    </row>
    <row r="35" spans="2:51">
      <c r="B35" s="217"/>
      <c r="C35" s="235"/>
      <c r="D35" s="1885" t="s">
        <v>308</v>
      </c>
      <c r="E35" s="1885"/>
      <c r="F35" s="1885"/>
      <c r="G35" s="1885"/>
      <c r="H35" s="1885"/>
      <c r="I35" s="1885"/>
      <c r="J35" s="1885"/>
      <c r="K35" s="1872">
        <v>29000</v>
      </c>
      <c r="L35" s="1872"/>
      <c r="M35" s="1872"/>
      <c r="N35" s="1872"/>
      <c r="O35" s="1872"/>
      <c r="P35" s="1872"/>
      <c r="Q35" s="1872"/>
      <c r="R35" s="1872"/>
      <c r="S35" s="1872"/>
      <c r="T35" s="258"/>
      <c r="U35" s="1872">
        <f>U34</f>
        <v>3600</v>
      </c>
      <c r="V35" s="1872"/>
      <c r="W35" s="1872"/>
      <c r="X35" s="1872"/>
      <c r="Y35" s="1872"/>
      <c r="Z35" s="1872"/>
      <c r="AA35" s="1872"/>
      <c r="AB35" s="1872"/>
      <c r="AC35" s="1872"/>
      <c r="AD35" s="257"/>
      <c r="AE35" s="1872">
        <f>AE34</f>
        <v>3600</v>
      </c>
      <c r="AF35" s="1872"/>
      <c r="AG35" s="1872"/>
      <c r="AH35" s="1872"/>
      <c r="AI35" s="1872"/>
      <c r="AJ35" s="1872"/>
      <c r="AK35" s="1872"/>
      <c r="AL35" s="1872"/>
      <c r="AM35" s="1872"/>
      <c r="AN35" s="209"/>
      <c r="AO35" s="209"/>
      <c r="AP35" s="201"/>
      <c r="AQ35" s="201"/>
      <c r="AR35" s="201"/>
      <c r="AS35" s="201"/>
      <c r="AT35" s="201"/>
      <c r="AU35" s="201"/>
      <c r="AV35" s="201"/>
      <c r="AW35" s="201"/>
      <c r="AX35" s="201"/>
    </row>
    <row r="36" spans="2:51">
      <c r="B36" s="217"/>
      <c r="C36" s="235"/>
      <c r="D36" s="1885" t="s">
        <v>309</v>
      </c>
      <c r="E36" s="1885"/>
      <c r="F36" s="1885"/>
      <c r="G36" s="1885"/>
      <c r="H36" s="1885"/>
      <c r="I36" s="1885"/>
      <c r="J36" s="1885"/>
      <c r="K36" s="1872">
        <v>35000</v>
      </c>
      <c r="L36" s="1872"/>
      <c r="M36" s="1872"/>
      <c r="N36" s="1872"/>
      <c r="O36" s="1872"/>
      <c r="P36" s="1872"/>
      <c r="Q36" s="1872"/>
      <c r="R36" s="1872"/>
      <c r="S36" s="1872"/>
      <c r="T36" s="258"/>
      <c r="U36" s="1872">
        <v>5345</v>
      </c>
      <c r="V36" s="1872"/>
      <c r="W36" s="1872"/>
      <c r="X36" s="1872"/>
      <c r="Y36" s="1872"/>
      <c r="Z36" s="1872"/>
      <c r="AA36" s="1872"/>
      <c r="AB36" s="1872"/>
      <c r="AC36" s="1872"/>
      <c r="AD36" s="257"/>
      <c r="AE36" s="1872">
        <f>16145-10800</f>
        <v>5345</v>
      </c>
      <c r="AF36" s="1872"/>
      <c r="AG36" s="1872"/>
      <c r="AH36" s="1872"/>
      <c r="AI36" s="1872"/>
      <c r="AJ36" s="1872"/>
      <c r="AK36" s="1872"/>
      <c r="AL36" s="1872"/>
      <c r="AM36" s="1872"/>
      <c r="AN36" s="209"/>
      <c r="AO36" s="209"/>
      <c r="AP36" s="201"/>
      <c r="AQ36" s="201"/>
      <c r="AR36" s="201"/>
      <c r="AS36" s="201"/>
      <c r="AT36" s="201"/>
      <c r="AU36" s="201"/>
      <c r="AV36" s="201"/>
      <c r="AW36" s="201"/>
      <c r="AX36" s="201"/>
    </row>
    <row r="37" spans="2:51">
      <c r="B37" s="217"/>
      <c r="C37" s="229"/>
      <c r="D37" s="1885" t="s">
        <v>70</v>
      </c>
      <c r="E37" s="1885"/>
      <c r="F37" s="1885"/>
      <c r="G37" s="1885"/>
      <c r="H37" s="1885"/>
      <c r="I37" s="1885"/>
      <c r="J37" s="1885"/>
      <c r="K37" s="1885">
        <f>SUM(K33:S36)</f>
        <v>115000</v>
      </c>
      <c r="L37" s="1885"/>
      <c r="M37" s="1885"/>
      <c r="N37" s="1885"/>
      <c r="O37" s="1885"/>
      <c r="P37" s="1885"/>
      <c r="Q37" s="1885"/>
      <c r="R37" s="1885"/>
      <c r="S37" s="1885"/>
      <c r="T37" s="563"/>
      <c r="U37" s="1885">
        <f>SUM(U33:AC36)</f>
        <v>16145</v>
      </c>
      <c r="V37" s="1885"/>
      <c r="W37" s="1885"/>
      <c r="X37" s="1885"/>
      <c r="Y37" s="1885"/>
      <c r="Z37" s="1885"/>
      <c r="AA37" s="1885"/>
      <c r="AB37" s="1885"/>
      <c r="AC37" s="1885"/>
      <c r="AD37" s="585"/>
      <c r="AE37" s="1885">
        <f>SUM(AE33:AM36)</f>
        <v>16145</v>
      </c>
      <c r="AF37" s="1885"/>
      <c r="AG37" s="1885"/>
      <c r="AH37" s="1885"/>
      <c r="AI37" s="1885"/>
      <c r="AJ37" s="1885"/>
      <c r="AK37" s="1885"/>
      <c r="AL37" s="1885"/>
      <c r="AM37" s="1885"/>
      <c r="AN37" s="209"/>
      <c r="AO37" s="209"/>
      <c r="AP37" s="201"/>
      <c r="AQ37" s="201"/>
      <c r="AR37" s="201"/>
      <c r="AS37" s="201"/>
      <c r="AT37" s="201"/>
      <c r="AU37" s="201"/>
      <c r="AV37" s="201"/>
      <c r="AW37" s="201"/>
      <c r="AX37" s="201"/>
    </row>
    <row r="38" spans="2:51" ht="4.5" customHeight="1">
      <c r="B38" s="217"/>
      <c r="C38" s="250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11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1"/>
      <c r="AQ38" s="201"/>
      <c r="AR38" s="201"/>
      <c r="AS38" s="201"/>
      <c r="AT38" s="201"/>
      <c r="AU38" s="201"/>
      <c r="AV38" s="201"/>
      <c r="AW38" s="201"/>
      <c r="AX38" s="201"/>
    </row>
    <row r="39" spans="2:51">
      <c r="B39" s="217"/>
      <c r="C39" s="1919" t="s">
        <v>231</v>
      </c>
      <c r="D39" s="1919"/>
      <c r="E39" s="1919"/>
      <c r="F39" s="1919"/>
      <c r="G39" s="1919"/>
      <c r="H39" s="1919"/>
      <c r="I39" s="1919"/>
      <c r="J39" s="1919"/>
      <c r="K39" s="1919"/>
      <c r="L39" s="1919"/>
      <c r="M39" s="1919"/>
      <c r="N39" s="1919"/>
      <c r="O39" s="1919"/>
      <c r="P39" s="1919"/>
      <c r="Q39" s="1919"/>
      <c r="R39" s="1919"/>
      <c r="S39" s="1919"/>
      <c r="T39" s="1919"/>
      <c r="U39" s="1919"/>
      <c r="V39" s="1919"/>
      <c r="W39" s="1919"/>
      <c r="X39" s="1919"/>
      <c r="Y39" s="1919"/>
      <c r="Z39" s="1919"/>
      <c r="AA39" s="1919"/>
      <c r="AB39" s="1919"/>
      <c r="AC39" s="1919"/>
      <c r="AD39" s="1919"/>
      <c r="AE39" s="1919"/>
      <c r="AF39" s="1919"/>
      <c r="AG39" s="1919"/>
      <c r="AH39" s="1919"/>
      <c r="AI39" s="1919"/>
      <c r="AJ39" s="1919"/>
      <c r="AK39" s="1919"/>
      <c r="AL39" s="1919"/>
      <c r="AM39" s="1919"/>
      <c r="AN39" s="209"/>
      <c r="AO39" s="209"/>
      <c r="AP39" s="201"/>
      <c r="AQ39" s="201"/>
      <c r="AR39" s="201"/>
      <c r="AS39" s="201"/>
      <c r="AT39" s="201"/>
      <c r="AU39" s="201"/>
      <c r="AV39" s="201"/>
      <c r="AW39" s="201"/>
      <c r="AX39" s="201"/>
    </row>
    <row r="40" spans="2:51" ht="2.25" customHeight="1">
      <c r="B40" s="217"/>
      <c r="C40" s="250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11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1"/>
      <c r="AQ40" s="201"/>
      <c r="AR40" s="201"/>
      <c r="AS40" s="201"/>
      <c r="AT40" s="201"/>
      <c r="AU40" s="201"/>
      <c r="AV40" s="201"/>
      <c r="AW40" s="201"/>
      <c r="AX40" s="201"/>
    </row>
    <row r="41" spans="2:51">
      <c r="B41" s="259"/>
      <c r="C41" s="1919" t="s">
        <v>232</v>
      </c>
      <c r="D41" s="1919"/>
      <c r="E41" s="1919"/>
      <c r="F41" s="1919"/>
      <c r="G41" s="1919"/>
      <c r="H41" s="1919"/>
      <c r="I41" s="1919"/>
      <c r="J41" s="1919"/>
      <c r="K41" s="1919"/>
      <c r="L41" s="1919"/>
      <c r="M41" s="1919"/>
      <c r="N41" s="1919"/>
      <c r="O41" s="1919"/>
      <c r="P41" s="1919"/>
      <c r="Q41" s="1919"/>
      <c r="R41" s="1919"/>
      <c r="S41" s="1919"/>
      <c r="T41" s="1919"/>
      <c r="U41" s="1919"/>
      <c r="V41" s="1919"/>
      <c r="W41" s="1919"/>
      <c r="X41" s="1919"/>
      <c r="Y41" s="1919"/>
      <c r="Z41" s="1919"/>
      <c r="AA41" s="1919"/>
      <c r="AB41" s="1919"/>
      <c r="AC41" s="1919"/>
      <c r="AD41" s="1919"/>
      <c r="AE41" s="1919"/>
      <c r="AF41" s="1919"/>
      <c r="AG41" s="1919"/>
      <c r="AH41" s="1919"/>
      <c r="AI41" s="1919"/>
      <c r="AJ41" s="1919"/>
      <c r="AK41" s="1919"/>
      <c r="AL41" s="1919"/>
      <c r="AM41" s="1919"/>
      <c r="AN41" s="218"/>
      <c r="AO41" s="218"/>
    </row>
    <row r="42" spans="2:51" ht="3" customHeight="1">
      <c r="B42" s="259"/>
      <c r="C42" s="261"/>
      <c r="AN42" s="218"/>
      <c r="AO42" s="218"/>
    </row>
    <row r="43" spans="2:51">
      <c r="B43" s="259"/>
      <c r="C43" s="262" t="s">
        <v>233</v>
      </c>
      <c r="E43" s="218" t="s">
        <v>83</v>
      </c>
      <c r="V43" s="325"/>
      <c r="W43" s="1829"/>
      <c r="X43" s="1829"/>
      <c r="Y43" s="1829"/>
      <c r="Z43" s="1829"/>
      <c r="AA43" s="1829"/>
      <c r="AB43" s="325"/>
      <c r="AC43" s="1829"/>
      <c r="AD43" s="1829"/>
      <c r="AE43" s="1829"/>
      <c r="AF43" s="1829"/>
      <c r="AG43" s="1829"/>
      <c r="AH43" s="325"/>
      <c r="AI43" s="1920" t="s">
        <v>303</v>
      </c>
      <c r="AJ43" s="1920"/>
      <c r="AK43" s="1920"/>
      <c r="AL43" s="1920"/>
      <c r="AM43" s="1920"/>
      <c r="AN43" s="218"/>
      <c r="AO43" s="218"/>
      <c r="AY43" s="260"/>
    </row>
    <row r="44" spans="2:51">
      <c r="B44" s="259"/>
      <c r="C44" s="262"/>
      <c r="E44" s="218" t="s">
        <v>104</v>
      </c>
      <c r="G44" s="218" t="s">
        <v>235</v>
      </c>
      <c r="V44" s="325" t="s">
        <v>234</v>
      </c>
      <c r="W44" s="1837">
        <f>'Calculation (OLD)'!V14</f>
        <v>905042</v>
      </c>
      <c r="X44" s="1838"/>
      <c r="Y44" s="1838"/>
      <c r="Z44" s="1838"/>
      <c r="AA44" s="1839"/>
      <c r="AB44" s="325"/>
      <c r="AC44" s="1829"/>
      <c r="AD44" s="1829"/>
      <c r="AE44" s="1829"/>
      <c r="AF44" s="1829"/>
      <c r="AG44" s="1829"/>
      <c r="AH44" s="325"/>
      <c r="AI44" s="1829"/>
      <c r="AJ44" s="1829"/>
      <c r="AK44" s="1829"/>
      <c r="AL44" s="1829"/>
      <c r="AM44" s="1829"/>
      <c r="AN44" s="218"/>
      <c r="AO44" s="218"/>
      <c r="AY44" s="260"/>
    </row>
    <row r="45" spans="2:51">
      <c r="B45" s="259"/>
      <c r="C45" s="262"/>
      <c r="G45" s="218" t="s">
        <v>236</v>
      </c>
      <c r="T45" s="326"/>
      <c r="U45" s="237"/>
      <c r="V45" s="325"/>
      <c r="W45" s="1831"/>
      <c r="X45" s="1831"/>
      <c r="Y45" s="1831"/>
      <c r="Z45" s="1831"/>
      <c r="AA45" s="1831"/>
      <c r="AB45" s="325"/>
      <c r="AC45" s="1829"/>
      <c r="AD45" s="1829"/>
      <c r="AE45" s="1829"/>
      <c r="AF45" s="1829"/>
      <c r="AG45" s="1829"/>
      <c r="AH45" s="325"/>
      <c r="AI45" s="1829"/>
      <c r="AJ45" s="1829"/>
      <c r="AK45" s="1829"/>
      <c r="AL45" s="1829"/>
      <c r="AM45" s="1829"/>
      <c r="AN45" s="218"/>
      <c r="AO45" s="218"/>
      <c r="AY45" s="260"/>
    </row>
    <row r="46" spans="2:51">
      <c r="B46" s="259"/>
      <c r="C46" s="262"/>
      <c r="E46" s="218" t="s">
        <v>76</v>
      </c>
      <c r="G46" s="218" t="s">
        <v>237</v>
      </c>
      <c r="V46" s="325" t="s">
        <v>234</v>
      </c>
      <c r="W46" s="1886">
        <v>0</v>
      </c>
      <c r="X46" s="1887"/>
      <c r="Y46" s="1887"/>
      <c r="Z46" s="1887"/>
      <c r="AA46" s="1888"/>
      <c r="AB46" s="325"/>
      <c r="AC46" s="1829"/>
      <c r="AD46" s="1829"/>
      <c r="AE46" s="1829"/>
      <c r="AF46" s="1829"/>
      <c r="AG46" s="1829"/>
      <c r="AH46" s="325"/>
      <c r="AI46" s="1829"/>
      <c r="AJ46" s="1829"/>
      <c r="AK46" s="1829"/>
      <c r="AL46" s="1829"/>
      <c r="AM46" s="1829"/>
      <c r="AN46" s="218"/>
      <c r="AO46" s="218"/>
      <c r="AY46" s="260"/>
    </row>
    <row r="47" spans="2:51">
      <c r="B47" s="259"/>
      <c r="C47" s="262"/>
      <c r="G47" s="218" t="s">
        <v>238</v>
      </c>
      <c r="V47" s="325"/>
      <c r="W47" s="1831"/>
      <c r="X47" s="1831"/>
      <c r="Y47" s="1831"/>
      <c r="Z47" s="1831"/>
      <c r="AA47" s="1831"/>
      <c r="AB47" s="325"/>
      <c r="AC47" s="1829"/>
      <c r="AD47" s="1829"/>
      <c r="AE47" s="1829"/>
      <c r="AF47" s="1829"/>
      <c r="AG47" s="1829"/>
      <c r="AH47" s="325"/>
      <c r="AI47" s="1829"/>
      <c r="AJ47" s="1829"/>
      <c r="AK47" s="1829"/>
      <c r="AL47" s="1829"/>
      <c r="AM47" s="1829"/>
      <c r="AN47" s="218"/>
      <c r="AO47" s="218"/>
      <c r="AY47" s="260"/>
    </row>
    <row r="48" spans="2:51">
      <c r="B48" s="259"/>
      <c r="C48" s="262"/>
      <c r="G48" s="218" t="s">
        <v>239</v>
      </c>
      <c r="T48" s="326"/>
      <c r="U48" s="327"/>
      <c r="V48" s="325"/>
      <c r="W48" s="1831"/>
      <c r="X48" s="1831"/>
      <c r="Y48" s="1831"/>
      <c r="Z48" s="1831"/>
      <c r="AA48" s="1831"/>
      <c r="AB48" s="325"/>
      <c r="AC48" s="1829"/>
      <c r="AD48" s="1829"/>
      <c r="AE48" s="1829"/>
      <c r="AF48" s="1829"/>
      <c r="AG48" s="1829"/>
      <c r="AH48" s="325"/>
      <c r="AI48" s="1829"/>
      <c r="AJ48" s="1829"/>
      <c r="AK48" s="1829"/>
      <c r="AL48" s="1829"/>
      <c r="AM48" s="1829"/>
      <c r="AN48" s="218"/>
      <c r="AO48" s="218"/>
      <c r="AY48" s="260"/>
    </row>
    <row r="49" spans="1:51">
      <c r="B49" s="259"/>
      <c r="C49" s="262"/>
      <c r="E49" s="218" t="s">
        <v>105</v>
      </c>
      <c r="G49" s="218" t="s">
        <v>240</v>
      </c>
      <c r="V49" s="325" t="s">
        <v>234</v>
      </c>
      <c r="W49" s="1886">
        <v>0</v>
      </c>
      <c r="X49" s="1887"/>
      <c r="Y49" s="1887"/>
      <c r="Z49" s="1887"/>
      <c r="AA49" s="1888"/>
      <c r="AB49" s="325"/>
      <c r="AC49" s="1829"/>
      <c r="AD49" s="1829"/>
      <c r="AE49" s="1829"/>
      <c r="AF49" s="1829"/>
      <c r="AG49" s="1829"/>
      <c r="AH49" s="325"/>
      <c r="AI49" s="1829"/>
      <c r="AJ49" s="1829"/>
      <c r="AK49" s="1829"/>
      <c r="AL49" s="1829"/>
      <c r="AM49" s="1829"/>
      <c r="AN49" s="218"/>
      <c r="AO49" s="218"/>
      <c r="AY49" s="260"/>
    </row>
    <row r="50" spans="1:51">
      <c r="B50" s="259"/>
      <c r="C50" s="262"/>
      <c r="G50" s="218" t="s">
        <v>241</v>
      </c>
      <c r="U50" s="328"/>
      <c r="V50" s="325"/>
      <c r="W50" s="1831"/>
      <c r="X50" s="1831"/>
      <c r="Y50" s="1831"/>
      <c r="Z50" s="1831"/>
      <c r="AA50" s="1831"/>
      <c r="AB50" s="325"/>
      <c r="AC50" s="1829"/>
      <c r="AD50" s="1829"/>
      <c r="AE50" s="1829"/>
      <c r="AF50" s="1829"/>
      <c r="AG50" s="1829"/>
      <c r="AH50" s="325"/>
      <c r="AI50" s="1829"/>
      <c r="AJ50" s="1829"/>
      <c r="AK50" s="1829"/>
      <c r="AL50" s="1829"/>
      <c r="AM50" s="1829"/>
      <c r="AN50" s="218"/>
      <c r="AO50" s="218"/>
      <c r="AY50" s="260"/>
    </row>
    <row r="51" spans="1:51">
      <c r="B51" s="259"/>
      <c r="C51" s="262"/>
      <c r="G51" s="218" t="s">
        <v>239</v>
      </c>
      <c r="T51" s="326"/>
      <c r="V51" s="325"/>
      <c r="W51" s="1831"/>
      <c r="X51" s="1831"/>
      <c r="Y51" s="1831"/>
      <c r="Z51" s="1831"/>
      <c r="AA51" s="1831"/>
      <c r="AB51" s="325"/>
      <c r="AC51" s="1829"/>
      <c r="AD51" s="1829"/>
      <c r="AE51" s="1829"/>
      <c r="AF51" s="1829"/>
      <c r="AG51" s="1829"/>
      <c r="AH51" s="325"/>
      <c r="AI51" s="1829"/>
      <c r="AJ51" s="1829"/>
      <c r="AK51" s="1829"/>
      <c r="AL51" s="1829"/>
      <c r="AM51" s="1829"/>
      <c r="AN51" s="218"/>
      <c r="AO51" s="218"/>
      <c r="AY51" s="260"/>
    </row>
    <row r="52" spans="1:51">
      <c r="B52" s="259"/>
      <c r="C52" s="262"/>
      <c r="G52" s="237" t="s">
        <v>70</v>
      </c>
      <c r="T52" s="326"/>
      <c r="V52" s="325"/>
      <c r="W52" s="1831"/>
      <c r="X52" s="1831"/>
      <c r="Y52" s="1831"/>
      <c r="Z52" s="1831"/>
      <c r="AA52" s="1831"/>
      <c r="AB52" s="325" t="s">
        <v>234</v>
      </c>
      <c r="AC52" s="1837">
        <f>W44+W46+W49</f>
        <v>905042</v>
      </c>
      <c r="AD52" s="1838"/>
      <c r="AE52" s="1838"/>
      <c r="AF52" s="1838"/>
      <c r="AG52" s="1839"/>
      <c r="AH52" s="325"/>
      <c r="AI52" s="1829"/>
      <c r="AJ52" s="1829"/>
      <c r="AK52" s="1829"/>
      <c r="AL52" s="1829"/>
      <c r="AM52" s="1829"/>
      <c r="AN52" s="218"/>
      <c r="AO52" s="218"/>
      <c r="AY52" s="260"/>
    </row>
    <row r="53" spans="1:51" ht="5.25" customHeight="1">
      <c r="B53" s="259"/>
      <c r="C53" s="267"/>
      <c r="V53" s="325"/>
      <c r="W53" s="355"/>
      <c r="X53" s="355"/>
      <c r="Y53" s="355"/>
      <c r="Z53" s="355"/>
      <c r="AA53" s="355"/>
      <c r="AB53" s="325"/>
      <c r="AC53" s="325"/>
      <c r="AD53" s="325"/>
      <c r="AE53" s="325"/>
      <c r="AF53" s="325"/>
      <c r="AG53" s="325"/>
      <c r="AH53" s="325"/>
      <c r="AI53" s="325"/>
      <c r="AJ53" s="325"/>
      <c r="AK53" s="325"/>
      <c r="AL53" s="325"/>
      <c r="AM53" s="325"/>
      <c r="AN53" s="218"/>
      <c r="AO53" s="218"/>
      <c r="AY53" s="260"/>
    </row>
    <row r="54" spans="1:51" s="274" customFormat="1">
      <c r="A54" s="209"/>
      <c r="B54" s="268"/>
      <c r="C54" s="262" t="s">
        <v>557</v>
      </c>
      <c r="D54" s="272" t="s">
        <v>541</v>
      </c>
      <c r="E54" s="268"/>
      <c r="F54" s="268"/>
      <c r="G54" s="268"/>
      <c r="H54" s="268"/>
      <c r="I54" s="268"/>
      <c r="J54" s="268"/>
      <c r="K54" s="268"/>
      <c r="L54" s="268"/>
      <c r="M54" s="268"/>
      <c r="N54" s="268"/>
      <c r="O54" s="268"/>
      <c r="P54" s="268"/>
      <c r="Q54" s="268"/>
      <c r="R54" s="268"/>
      <c r="S54" s="268"/>
      <c r="T54" s="268"/>
      <c r="U54" s="268"/>
      <c r="V54" s="325"/>
      <c r="W54" s="1831"/>
      <c r="X54" s="1831"/>
      <c r="Y54" s="1831"/>
      <c r="Z54" s="1831"/>
      <c r="AA54" s="1831"/>
      <c r="AB54" s="325" t="s">
        <v>234</v>
      </c>
      <c r="AC54" s="1837">
        <f>V56+V57+V58+V59+V60+V62+V61</f>
        <v>51667</v>
      </c>
      <c r="AD54" s="1838"/>
      <c r="AE54" s="1838"/>
      <c r="AF54" s="1838"/>
      <c r="AG54" s="1839"/>
      <c r="AH54" s="325"/>
      <c r="AI54" s="1829"/>
      <c r="AJ54" s="1829"/>
      <c r="AK54" s="1829"/>
      <c r="AL54" s="1829"/>
      <c r="AM54" s="1829"/>
      <c r="AN54" s="218"/>
      <c r="AO54" s="218"/>
      <c r="AP54" s="263"/>
      <c r="AQ54" s="263"/>
      <c r="AR54" s="263"/>
      <c r="AS54" s="263"/>
      <c r="AT54" s="263"/>
      <c r="AU54" s="263"/>
      <c r="AV54" s="263"/>
      <c r="AW54" s="263"/>
      <c r="AX54" s="263"/>
      <c r="AY54" s="263"/>
    </row>
    <row r="55" spans="1:51" s="274" customFormat="1">
      <c r="A55" s="209"/>
      <c r="B55" s="268"/>
      <c r="C55" s="268"/>
      <c r="D55" s="1882" t="s">
        <v>118</v>
      </c>
      <c r="E55" s="1883"/>
      <c r="F55" s="1883"/>
      <c r="G55" s="1883"/>
      <c r="H55" s="1883"/>
      <c r="I55" s="1883"/>
      <c r="J55" s="1883"/>
      <c r="K55" s="1883"/>
      <c r="L55" s="1883"/>
      <c r="M55" s="1883"/>
      <c r="N55" s="1883"/>
      <c r="O55" s="1884"/>
      <c r="P55" s="1882" t="s">
        <v>381</v>
      </c>
      <c r="Q55" s="1883"/>
      <c r="R55" s="1883"/>
      <c r="S55" s="1883"/>
      <c r="T55" s="1884"/>
      <c r="U55" s="268"/>
      <c r="V55" s="1882" t="s">
        <v>380</v>
      </c>
      <c r="W55" s="1883"/>
      <c r="X55" s="1883"/>
      <c r="Y55" s="1883"/>
      <c r="Z55" s="1884"/>
      <c r="AA55" s="355"/>
      <c r="AB55" s="325"/>
      <c r="AC55" s="1829"/>
      <c r="AD55" s="1829"/>
      <c r="AE55" s="1829"/>
      <c r="AF55" s="1829"/>
      <c r="AG55" s="1829"/>
      <c r="AH55" s="325"/>
      <c r="AI55" s="1829"/>
      <c r="AJ55" s="1829"/>
      <c r="AK55" s="1829"/>
      <c r="AL55" s="1829"/>
      <c r="AM55" s="1829"/>
      <c r="AN55" s="218"/>
      <c r="AO55" s="218"/>
      <c r="AP55" s="263"/>
      <c r="AQ55" s="263"/>
      <c r="AR55" s="263"/>
      <c r="AS55" s="263"/>
      <c r="AT55" s="263"/>
      <c r="AU55" s="263"/>
      <c r="AV55" s="263"/>
      <c r="AW55" s="263"/>
      <c r="AX55" s="263"/>
      <c r="AY55" s="263"/>
    </row>
    <row r="56" spans="1:51" s="274" customFormat="1">
      <c r="A56" s="209"/>
      <c r="B56" s="268"/>
      <c r="C56" s="268"/>
      <c r="D56" s="1863" t="str">
        <f>'Calculation (OLD)'!E20</f>
        <v>Retirement Gratuity</v>
      </c>
      <c r="E56" s="1864"/>
      <c r="F56" s="1864"/>
      <c r="G56" s="1864"/>
      <c r="H56" s="1864"/>
      <c r="I56" s="1864"/>
      <c r="J56" s="1864"/>
      <c r="K56" s="1864"/>
      <c r="L56" s="1864"/>
      <c r="M56" s="1864"/>
      <c r="N56" s="1864"/>
      <c r="O56" s="1865"/>
      <c r="P56" s="1860">
        <f>'Calculation (OLD)'!Q20</f>
        <v>1500000</v>
      </c>
      <c r="Q56" s="1861"/>
      <c r="R56" s="1861"/>
      <c r="S56" s="1861"/>
      <c r="T56" s="1862"/>
      <c r="U56" s="1182"/>
      <c r="V56" s="1849">
        <f>'Calculation (OLD)'!S20</f>
        <v>0</v>
      </c>
      <c r="W56" s="1850"/>
      <c r="X56" s="1850"/>
      <c r="Y56" s="1850"/>
      <c r="Z56" s="1851"/>
      <c r="AA56" s="355"/>
      <c r="AB56" s="325"/>
      <c r="AC56" s="1829"/>
      <c r="AD56" s="1829"/>
      <c r="AE56" s="1829"/>
      <c r="AF56" s="1829"/>
      <c r="AG56" s="1829"/>
      <c r="AH56" s="325"/>
      <c r="AI56" s="1829"/>
      <c r="AJ56" s="1829"/>
      <c r="AK56" s="1829"/>
      <c r="AL56" s="1829"/>
      <c r="AM56" s="1829"/>
      <c r="AN56" s="218"/>
      <c r="AO56" s="218"/>
      <c r="AP56" s="263"/>
      <c r="AQ56" s="263"/>
      <c r="AR56" s="263"/>
      <c r="AS56" s="263"/>
      <c r="AT56" s="263"/>
      <c r="AU56" s="263"/>
      <c r="AV56" s="263"/>
      <c r="AW56" s="263"/>
      <c r="AX56" s="263"/>
      <c r="AY56" s="263"/>
    </row>
    <row r="57" spans="1:51" s="274" customFormat="1">
      <c r="A57" s="209"/>
      <c r="B57" s="268"/>
      <c r="C57" s="268"/>
      <c r="D57" s="1863" t="str">
        <f>'Calculation (OLD)'!E21</f>
        <v xml:space="preserve">Leave Salary in Retirement Govt. Employee </v>
      </c>
      <c r="E57" s="1864"/>
      <c r="F57" s="1864"/>
      <c r="G57" s="1864"/>
      <c r="H57" s="1864"/>
      <c r="I57" s="1864"/>
      <c r="J57" s="1864"/>
      <c r="K57" s="1864"/>
      <c r="L57" s="1864"/>
      <c r="M57" s="1864"/>
      <c r="N57" s="1864"/>
      <c r="O57" s="1865"/>
      <c r="P57" s="1860">
        <f>'Calculation (OLD)'!Q21</f>
        <v>400000</v>
      </c>
      <c r="Q57" s="1861"/>
      <c r="R57" s="1861"/>
      <c r="S57" s="1861"/>
      <c r="T57" s="1862"/>
      <c r="U57" s="268"/>
      <c r="V57" s="1849">
        <f>'Calculation (OLD)'!S21</f>
        <v>0</v>
      </c>
      <c r="W57" s="1850"/>
      <c r="X57" s="1850"/>
      <c r="Y57" s="1850"/>
      <c r="Z57" s="1851"/>
      <c r="AA57" s="355"/>
      <c r="AB57" s="325"/>
      <c r="AC57" s="1829"/>
      <c r="AD57" s="1829"/>
      <c r="AE57" s="1829"/>
      <c r="AF57" s="1829"/>
      <c r="AG57" s="1829"/>
      <c r="AH57" s="325"/>
      <c r="AI57" s="1829"/>
      <c r="AJ57" s="1829"/>
      <c r="AK57" s="1829"/>
      <c r="AL57" s="1829"/>
      <c r="AM57" s="1829"/>
      <c r="AN57" s="218"/>
      <c r="AO57" s="218"/>
      <c r="AP57" s="263"/>
      <c r="AQ57" s="263"/>
      <c r="AR57" s="263"/>
      <c r="AS57" s="263"/>
      <c r="AT57" s="263"/>
      <c r="AU57" s="263"/>
      <c r="AV57" s="263"/>
      <c r="AW57" s="263"/>
      <c r="AX57" s="263"/>
      <c r="AY57" s="263"/>
    </row>
    <row r="58" spans="1:51" s="274" customFormat="1">
      <c r="A58" s="209"/>
      <c r="B58" s="268"/>
      <c r="C58" s="268"/>
      <c r="D58" s="1863" t="str">
        <f>'Calculation (OLD)'!E22</f>
        <v>Retrenchment Compensation</v>
      </c>
      <c r="E58" s="1864"/>
      <c r="F58" s="1864"/>
      <c r="G58" s="1864"/>
      <c r="H58" s="1864"/>
      <c r="I58" s="1864"/>
      <c r="J58" s="1864"/>
      <c r="K58" s="1864"/>
      <c r="L58" s="1864"/>
      <c r="M58" s="1864"/>
      <c r="N58" s="1864"/>
      <c r="O58" s="1865"/>
      <c r="P58" s="1860">
        <f>'Calculation (OLD)'!Q22</f>
        <v>2500000</v>
      </c>
      <c r="Q58" s="1861"/>
      <c r="R58" s="1861"/>
      <c r="S58" s="1861"/>
      <c r="T58" s="1862"/>
      <c r="U58" s="237"/>
      <c r="V58" s="1849">
        <f>'Calculation (OLD)'!S22</f>
        <v>0</v>
      </c>
      <c r="W58" s="1850"/>
      <c r="X58" s="1850"/>
      <c r="Y58" s="1850"/>
      <c r="Z58" s="1851"/>
      <c r="AA58" s="355"/>
      <c r="AB58" s="325"/>
      <c r="AC58" s="1829"/>
      <c r="AD58" s="1829"/>
      <c r="AE58" s="1829"/>
      <c r="AF58" s="1829"/>
      <c r="AG58" s="1829"/>
      <c r="AH58" s="325"/>
      <c r="AI58" s="1829"/>
      <c r="AJ58" s="1829"/>
      <c r="AK58" s="1829"/>
      <c r="AL58" s="1829"/>
      <c r="AM58" s="1829"/>
      <c r="AN58" s="218"/>
      <c r="AO58" s="218"/>
      <c r="AP58" s="263"/>
      <c r="AQ58" s="263"/>
      <c r="AR58" s="263"/>
      <c r="AS58" s="263"/>
      <c r="AT58" s="263"/>
      <c r="AU58" s="263"/>
      <c r="AV58" s="263"/>
      <c r="AW58" s="263"/>
      <c r="AX58" s="263"/>
      <c r="AY58" s="263"/>
    </row>
    <row r="59" spans="1:51" s="274" customFormat="1">
      <c r="A59" s="209"/>
      <c r="B59" s="268"/>
      <c r="C59" s="268"/>
      <c r="D59" s="1863" t="str">
        <f>'Calculation (OLD)'!E23</f>
        <v>Agricultural Income</v>
      </c>
      <c r="E59" s="1864"/>
      <c r="F59" s="1864"/>
      <c r="G59" s="1864"/>
      <c r="H59" s="1864"/>
      <c r="I59" s="1864"/>
      <c r="J59" s="1864"/>
      <c r="K59" s="1864"/>
      <c r="L59" s="1864"/>
      <c r="M59" s="1864"/>
      <c r="N59" s="1864"/>
      <c r="O59" s="1865"/>
      <c r="P59" s="1860">
        <f>'Calculation (OLD)'!Q23</f>
        <v>5000</v>
      </c>
      <c r="Q59" s="1861"/>
      <c r="R59" s="1861"/>
      <c r="S59" s="1861"/>
      <c r="T59" s="1862"/>
      <c r="U59" s="237"/>
      <c r="V59" s="1849">
        <f>'Calculation (OLD)'!S23</f>
        <v>5000</v>
      </c>
      <c r="W59" s="1850"/>
      <c r="X59" s="1850"/>
      <c r="Y59" s="1850"/>
      <c r="Z59" s="1851"/>
      <c r="AA59" s="355"/>
      <c r="AB59" s="325"/>
      <c r="AC59" s="1829"/>
      <c r="AD59" s="1829"/>
      <c r="AE59" s="1829"/>
      <c r="AF59" s="1829"/>
      <c r="AG59" s="1829"/>
      <c r="AH59" s="325"/>
      <c r="AI59" s="1829"/>
      <c r="AJ59" s="1829"/>
      <c r="AK59" s="1829"/>
      <c r="AL59" s="1829"/>
      <c r="AM59" s="1829"/>
      <c r="AN59" s="218"/>
      <c r="AO59" s="218"/>
      <c r="AP59" s="263"/>
      <c r="AQ59" s="263"/>
      <c r="AR59" s="263"/>
      <c r="AS59" s="263"/>
      <c r="AT59" s="263"/>
      <c r="AU59" s="263"/>
      <c r="AV59" s="263"/>
      <c r="AW59" s="263"/>
      <c r="AX59" s="263"/>
      <c r="AY59" s="263"/>
    </row>
    <row r="60" spans="1:51" s="274" customFormat="1">
      <c r="A60" s="209"/>
      <c r="B60" s="268"/>
      <c r="C60" s="268"/>
      <c r="D60" s="1863" t="str">
        <f>'Calculation (OLD)'!E24</f>
        <v>Family Pension</v>
      </c>
      <c r="E60" s="1864"/>
      <c r="F60" s="1864"/>
      <c r="G60" s="1864"/>
      <c r="H60" s="1864"/>
      <c r="I60" s="1864"/>
      <c r="J60" s="1864"/>
      <c r="K60" s="1864"/>
      <c r="L60" s="1864"/>
      <c r="M60" s="1864"/>
      <c r="N60" s="1864"/>
      <c r="O60" s="1865"/>
      <c r="P60" s="1860">
        <f>'Calculation (OLD)'!Q24</f>
        <v>40000</v>
      </c>
      <c r="Q60" s="1861"/>
      <c r="R60" s="1861"/>
      <c r="S60" s="1861"/>
      <c r="T60" s="1862"/>
      <c r="U60" s="237"/>
      <c r="V60" s="1849">
        <f>'Calculation (OLD)'!S24</f>
        <v>26667</v>
      </c>
      <c r="W60" s="1850"/>
      <c r="X60" s="1850"/>
      <c r="Y60" s="1850"/>
      <c r="Z60" s="1851"/>
      <c r="AA60" s="355"/>
      <c r="AB60" s="325"/>
      <c r="AC60" s="325"/>
      <c r="AD60" s="325"/>
      <c r="AE60" s="325"/>
      <c r="AF60" s="325"/>
      <c r="AG60" s="325"/>
      <c r="AH60" s="325"/>
      <c r="AI60" s="325"/>
      <c r="AJ60" s="325"/>
      <c r="AK60" s="325"/>
      <c r="AL60" s="325"/>
      <c r="AM60" s="325"/>
      <c r="AN60" s="218"/>
      <c r="AO60" s="218"/>
      <c r="AP60" s="263"/>
      <c r="AQ60" s="263"/>
      <c r="AR60" s="263"/>
      <c r="AS60" s="263"/>
      <c r="AT60" s="263"/>
      <c r="AU60" s="263"/>
      <c r="AV60" s="263"/>
      <c r="AW60" s="263"/>
      <c r="AX60" s="263"/>
      <c r="AY60" s="263"/>
    </row>
    <row r="61" spans="1:51" s="274" customFormat="1" ht="29.25" customHeight="1">
      <c r="A61" s="209"/>
      <c r="B61" s="268"/>
      <c r="C61" s="268"/>
      <c r="D61" s="1866" t="s">
        <v>648</v>
      </c>
      <c r="E61" s="1867"/>
      <c r="F61" s="1867"/>
      <c r="G61" s="1867"/>
      <c r="H61" s="1867"/>
      <c r="I61" s="1867"/>
      <c r="J61" s="1867"/>
      <c r="K61" s="1867"/>
      <c r="L61" s="1867"/>
      <c r="M61" s="1867"/>
      <c r="N61" s="1867"/>
      <c r="O61" s="1868"/>
      <c r="P61" s="1860">
        <f>'Calculation (OLD)'!S15+'Calculation (OLD)'!S16+'Calculation (OLD)'!S17+'Calculation (OLD)'!S18+'Calculation (OLD)'!S19</f>
        <v>20000</v>
      </c>
      <c r="Q61" s="1861"/>
      <c r="R61" s="1861"/>
      <c r="S61" s="1861"/>
      <c r="T61" s="1862"/>
      <c r="U61" s="237"/>
      <c r="V61" s="1849">
        <f>P61</f>
        <v>20000</v>
      </c>
      <c r="W61" s="1850"/>
      <c r="X61" s="1850"/>
      <c r="Y61" s="1850"/>
      <c r="Z61" s="1851"/>
      <c r="AA61" s="355"/>
      <c r="AB61" s="325"/>
      <c r="AC61" s="325"/>
      <c r="AD61" s="325"/>
      <c r="AE61" s="325"/>
      <c r="AF61" s="325"/>
      <c r="AG61" s="325"/>
      <c r="AH61" s="325"/>
      <c r="AI61" s="325"/>
      <c r="AJ61" s="325"/>
      <c r="AK61" s="325"/>
      <c r="AL61" s="325"/>
      <c r="AM61" s="325"/>
      <c r="AN61" s="218"/>
      <c r="AO61" s="218"/>
      <c r="AP61" s="263"/>
      <c r="AQ61" s="263"/>
      <c r="AR61" s="263"/>
      <c r="AS61" s="263"/>
      <c r="AT61" s="263"/>
      <c r="AU61" s="263"/>
      <c r="AV61" s="263"/>
      <c r="AW61" s="263"/>
      <c r="AX61" s="263"/>
      <c r="AY61" s="263"/>
    </row>
    <row r="62" spans="1:51" s="274" customFormat="1">
      <c r="A62" s="209"/>
      <c r="B62" s="268"/>
      <c r="C62" s="268"/>
      <c r="D62" s="1863" t="str">
        <f>'Calculation (OLD)'!E25</f>
        <v>Other Income Sources [ if any ]</v>
      </c>
      <c r="E62" s="1864"/>
      <c r="F62" s="1864"/>
      <c r="G62" s="1864"/>
      <c r="H62" s="1864"/>
      <c r="I62" s="1864"/>
      <c r="J62" s="1864"/>
      <c r="K62" s="1864"/>
      <c r="L62" s="1864"/>
      <c r="M62" s="1864"/>
      <c r="N62" s="1864"/>
      <c r="O62" s="1865"/>
      <c r="P62" s="1860">
        <f>'Calculation (OLD)'!P25</f>
        <v>0</v>
      </c>
      <c r="Q62" s="1861"/>
      <c r="R62" s="1861"/>
      <c r="S62" s="1861"/>
      <c r="T62" s="1862"/>
      <c r="U62" s="237"/>
      <c r="V62" s="1849">
        <f>'Calculation (OLD)'!S25</f>
        <v>0</v>
      </c>
      <c r="W62" s="1850"/>
      <c r="X62" s="1850"/>
      <c r="Y62" s="1850"/>
      <c r="Z62" s="1851"/>
      <c r="AA62" s="355"/>
      <c r="AB62" s="325"/>
      <c r="AC62" s="1829"/>
      <c r="AD62" s="1829"/>
      <c r="AE62" s="1829"/>
      <c r="AF62" s="1829"/>
      <c r="AG62" s="1829"/>
      <c r="AH62" s="325"/>
      <c r="AI62" s="1829"/>
      <c r="AJ62" s="1829"/>
      <c r="AK62" s="1829"/>
      <c r="AL62" s="1829"/>
      <c r="AM62" s="1829"/>
      <c r="AN62" s="218"/>
      <c r="AO62" s="218"/>
      <c r="AP62" s="263"/>
      <c r="AQ62" s="263"/>
      <c r="AR62" s="263"/>
      <c r="AS62" s="263"/>
      <c r="AT62" s="263"/>
      <c r="AU62" s="263"/>
      <c r="AV62" s="263"/>
      <c r="AW62" s="263"/>
      <c r="AX62" s="263"/>
      <c r="AY62" s="263"/>
    </row>
    <row r="63" spans="1:51" ht="5.25" customHeight="1">
      <c r="B63" s="259"/>
      <c r="C63" s="267"/>
      <c r="V63" s="325"/>
      <c r="W63" s="355"/>
      <c r="X63" s="355"/>
      <c r="Y63" s="355"/>
      <c r="Z63" s="355"/>
      <c r="AA63" s="355"/>
      <c r="AB63" s="325"/>
      <c r="AC63" s="325"/>
      <c r="AD63" s="325"/>
      <c r="AE63" s="325"/>
      <c r="AF63" s="325"/>
      <c r="AG63" s="325"/>
      <c r="AH63" s="325"/>
      <c r="AI63" s="325"/>
      <c r="AJ63" s="325"/>
      <c r="AK63" s="325"/>
      <c r="AL63" s="325"/>
      <c r="AM63" s="325"/>
      <c r="AN63" s="218"/>
      <c r="AO63" s="218"/>
      <c r="AY63" s="260"/>
    </row>
    <row r="64" spans="1:51" ht="15" customHeight="1">
      <c r="B64" s="259"/>
      <c r="C64" s="262"/>
      <c r="G64" s="237" t="s">
        <v>558</v>
      </c>
      <c r="T64" s="326"/>
      <c r="V64" s="325"/>
      <c r="W64" s="1831"/>
      <c r="X64" s="1831"/>
      <c r="Y64" s="1831"/>
      <c r="Z64" s="1831"/>
      <c r="AA64" s="1831"/>
      <c r="AB64" s="325" t="s">
        <v>234</v>
      </c>
      <c r="AC64" s="1837">
        <f>AC52+AC54</f>
        <v>956709</v>
      </c>
      <c r="AD64" s="1838"/>
      <c r="AE64" s="1838"/>
      <c r="AF64" s="1838"/>
      <c r="AG64" s="1839"/>
      <c r="AH64" s="325"/>
      <c r="AI64" s="1829"/>
      <c r="AJ64" s="1829"/>
      <c r="AK64" s="1829"/>
      <c r="AL64" s="1829"/>
      <c r="AM64" s="1829"/>
      <c r="AN64" s="218"/>
      <c r="AO64" s="218"/>
      <c r="AY64" s="260"/>
    </row>
    <row r="65" spans="1:51" ht="5.25" customHeight="1">
      <c r="B65" s="259"/>
      <c r="C65" s="267"/>
      <c r="V65" s="325"/>
      <c r="W65" s="355"/>
      <c r="X65" s="355"/>
      <c r="Y65" s="355"/>
      <c r="Z65" s="355"/>
      <c r="AA65" s="355"/>
      <c r="AB65" s="325"/>
      <c r="AC65" s="325"/>
      <c r="AD65" s="325"/>
      <c r="AE65" s="325"/>
      <c r="AF65" s="325"/>
      <c r="AG65" s="325"/>
      <c r="AH65" s="325"/>
      <c r="AI65" s="325"/>
      <c r="AJ65" s="325"/>
      <c r="AK65" s="325"/>
      <c r="AL65" s="325"/>
      <c r="AM65" s="325"/>
      <c r="AN65" s="218"/>
      <c r="AO65" s="218"/>
      <c r="AY65" s="260"/>
    </row>
    <row r="66" spans="1:51" ht="15" customHeight="1">
      <c r="B66" s="259"/>
      <c r="C66" s="262" t="s">
        <v>542</v>
      </c>
      <c r="E66" s="943" t="s">
        <v>556</v>
      </c>
      <c r="F66" s="943"/>
      <c r="G66" s="943"/>
      <c r="H66" s="943"/>
      <c r="I66" s="943"/>
      <c r="J66" s="943"/>
      <c r="K66" s="943"/>
      <c r="L66" s="943"/>
      <c r="M66" s="943"/>
      <c r="N66" s="943"/>
      <c r="O66" s="943"/>
      <c r="P66" s="943"/>
      <c r="Q66" s="943"/>
      <c r="R66" s="943"/>
      <c r="S66" s="943"/>
      <c r="T66" s="944"/>
      <c r="U66" s="945"/>
      <c r="V66" s="946"/>
      <c r="W66" s="1834"/>
      <c r="X66" s="1834"/>
      <c r="Y66" s="1834"/>
      <c r="Z66" s="1834"/>
      <c r="AA66" s="1834"/>
      <c r="AB66" s="325" t="s">
        <v>234</v>
      </c>
      <c r="AC66" s="1837">
        <v>50000</v>
      </c>
      <c r="AD66" s="1838"/>
      <c r="AE66" s="1838"/>
      <c r="AF66" s="1838"/>
      <c r="AG66" s="1839"/>
      <c r="AH66" s="325"/>
      <c r="AI66" s="1829"/>
      <c r="AJ66" s="1829"/>
      <c r="AK66" s="1829"/>
      <c r="AL66" s="1829"/>
      <c r="AM66" s="1829"/>
      <c r="AN66" s="218"/>
      <c r="AO66" s="218"/>
      <c r="AY66" s="260"/>
    </row>
    <row r="67" spans="1:51" ht="5.25" customHeight="1">
      <c r="B67" s="259"/>
      <c r="C67" s="267"/>
      <c r="V67" s="325"/>
      <c r="W67" s="355"/>
      <c r="X67" s="355"/>
      <c r="Y67" s="355"/>
      <c r="Z67" s="355"/>
      <c r="AA67" s="355"/>
      <c r="AB67" s="325"/>
      <c r="AC67" s="325"/>
      <c r="AD67" s="325"/>
      <c r="AE67" s="325"/>
      <c r="AF67" s="325"/>
      <c r="AG67" s="325"/>
      <c r="AH67" s="325"/>
      <c r="AI67" s="325"/>
      <c r="AJ67" s="325"/>
      <c r="AK67" s="325"/>
      <c r="AL67" s="325"/>
      <c r="AM67" s="325"/>
      <c r="AN67" s="218"/>
      <c r="AO67" s="218"/>
      <c r="AY67" s="260"/>
    </row>
    <row r="68" spans="1:51" ht="5.25" customHeight="1">
      <c r="B68" s="259"/>
      <c r="C68" s="267"/>
      <c r="V68" s="325"/>
      <c r="W68" s="355"/>
      <c r="X68" s="355"/>
      <c r="Y68" s="355"/>
      <c r="Z68" s="355"/>
      <c r="AA68" s="355"/>
      <c r="AB68" s="325"/>
      <c r="AC68" s="325"/>
      <c r="AD68" s="325"/>
      <c r="AE68" s="325"/>
      <c r="AF68" s="325"/>
      <c r="AG68" s="325"/>
      <c r="AH68" s="325"/>
      <c r="AI68" s="325"/>
      <c r="AJ68" s="325"/>
      <c r="AK68" s="325"/>
      <c r="AL68" s="325"/>
      <c r="AM68" s="325"/>
      <c r="AN68" s="218"/>
      <c r="AO68" s="218"/>
      <c r="AY68" s="260"/>
    </row>
    <row r="69" spans="1:51" ht="15" customHeight="1">
      <c r="B69" s="259"/>
      <c r="C69" s="262"/>
      <c r="E69" s="943" t="str">
        <f>'Calculation (OLD)'!D28</f>
        <v>Balance  (1+ (1.a to 1.k)) - 2(Standard deduction)</v>
      </c>
      <c r="F69" s="943"/>
      <c r="G69" s="943"/>
      <c r="H69" s="943"/>
      <c r="I69" s="943"/>
      <c r="J69" s="943"/>
      <c r="K69" s="943"/>
      <c r="L69" s="943"/>
      <c r="M69" s="943"/>
      <c r="N69" s="943"/>
      <c r="O69" s="943"/>
      <c r="P69" s="943"/>
      <c r="Q69" s="943"/>
      <c r="R69" s="943"/>
      <c r="S69" s="943"/>
      <c r="T69" s="944"/>
      <c r="U69" s="945"/>
      <c r="V69" s="946"/>
      <c r="W69" s="1834"/>
      <c r="X69" s="1834"/>
      <c r="Y69" s="1834"/>
      <c r="Z69" s="1834"/>
      <c r="AA69" s="1834"/>
      <c r="AB69" s="325" t="s">
        <v>234</v>
      </c>
      <c r="AC69" s="1857">
        <f>AC64-AC66</f>
        <v>906709</v>
      </c>
      <c r="AD69" s="1858"/>
      <c r="AE69" s="1858"/>
      <c r="AF69" s="1858"/>
      <c r="AG69" s="1859"/>
      <c r="AH69" s="325"/>
      <c r="AI69" s="1829"/>
      <c r="AJ69" s="1829"/>
      <c r="AK69" s="1829"/>
      <c r="AL69" s="1829"/>
      <c r="AM69" s="1829"/>
      <c r="AN69" s="218"/>
      <c r="AO69" s="218"/>
      <c r="AY69" s="260"/>
    </row>
    <row r="70" spans="1:51" ht="5.25" customHeight="1">
      <c r="B70" s="259"/>
      <c r="C70" s="267"/>
      <c r="V70" s="325"/>
      <c r="W70" s="355"/>
      <c r="X70" s="355"/>
      <c r="Y70" s="355"/>
      <c r="Z70" s="355"/>
      <c r="AA70" s="355"/>
      <c r="AB70" s="325"/>
      <c r="AC70" s="325"/>
      <c r="AD70" s="325"/>
      <c r="AE70" s="325"/>
      <c r="AF70" s="325"/>
      <c r="AG70" s="325"/>
      <c r="AH70" s="325"/>
      <c r="AI70" s="325"/>
      <c r="AJ70" s="325"/>
      <c r="AK70" s="325"/>
      <c r="AL70" s="325"/>
      <c r="AM70" s="325"/>
      <c r="AN70" s="218"/>
      <c r="AO70" s="218"/>
      <c r="AY70" s="260"/>
    </row>
    <row r="71" spans="1:51" ht="15" customHeight="1">
      <c r="B71" s="259"/>
      <c r="C71" s="262" t="s">
        <v>555</v>
      </c>
      <c r="E71" s="943" t="s">
        <v>559</v>
      </c>
      <c r="F71" s="943"/>
      <c r="G71" s="943"/>
      <c r="H71" s="943"/>
      <c r="I71" s="943"/>
      <c r="J71" s="943"/>
      <c r="K71" s="943"/>
      <c r="L71" s="943"/>
      <c r="M71" s="943"/>
      <c r="N71" s="943"/>
      <c r="O71" s="943"/>
      <c r="P71" s="943"/>
      <c r="Q71" s="943"/>
      <c r="R71" s="943"/>
      <c r="S71" s="943"/>
      <c r="T71" s="944"/>
      <c r="U71" s="945"/>
      <c r="V71" s="946"/>
      <c r="W71" s="1835"/>
      <c r="X71" s="1835"/>
      <c r="Y71" s="1835"/>
      <c r="Z71" s="1835"/>
      <c r="AA71" s="1835"/>
      <c r="AB71" s="325"/>
      <c r="AC71" s="1829"/>
      <c r="AD71" s="1829"/>
      <c r="AE71" s="1829"/>
      <c r="AF71" s="1829"/>
      <c r="AG71" s="1829"/>
      <c r="AH71" s="325"/>
      <c r="AI71" s="1829"/>
      <c r="AJ71" s="1829"/>
      <c r="AK71" s="1829"/>
      <c r="AL71" s="1829"/>
      <c r="AM71" s="1829"/>
      <c r="AN71" s="218"/>
      <c r="AO71" s="218"/>
      <c r="AY71" s="260"/>
    </row>
    <row r="72" spans="1:51" ht="15" customHeight="1">
      <c r="B72" s="259"/>
      <c r="C72" s="218" t="s">
        <v>104</v>
      </c>
      <c r="E72" s="1846" t="str">
        <f>'Calculation (OLD)'!D30</f>
        <v>Deduction Less House rent allowance exempt U/s 10[13A]</v>
      </c>
      <c r="F72" s="1846"/>
      <c r="G72" s="1846"/>
      <c r="H72" s="1846"/>
      <c r="I72" s="1846"/>
      <c r="J72" s="1846"/>
      <c r="K72" s="1846"/>
      <c r="L72" s="1846"/>
      <c r="M72" s="1846"/>
      <c r="N72" s="1846"/>
      <c r="O72" s="1846"/>
      <c r="P72" s="1846"/>
      <c r="Q72" s="1846"/>
      <c r="R72" s="1846"/>
      <c r="S72" s="1846"/>
      <c r="T72" s="1846"/>
      <c r="U72" s="947"/>
      <c r="V72" s="948" t="s">
        <v>234</v>
      </c>
      <c r="W72" s="1856">
        <f>'Calculation (OLD)'!S34</f>
        <v>0</v>
      </c>
      <c r="X72" s="1856"/>
      <c r="Y72" s="1856"/>
      <c r="Z72" s="1856"/>
      <c r="AA72" s="1856"/>
      <c r="AB72" s="325"/>
      <c r="AC72" s="1829"/>
      <c r="AD72" s="1829"/>
      <c r="AE72" s="1829"/>
      <c r="AF72" s="1829"/>
      <c r="AG72" s="1829"/>
      <c r="AH72" s="325"/>
      <c r="AI72" s="1829"/>
      <c r="AJ72" s="1829"/>
      <c r="AK72" s="1829"/>
      <c r="AL72" s="1829"/>
      <c r="AM72" s="1829"/>
      <c r="AN72" s="218"/>
      <c r="AO72" s="218"/>
      <c r="AY72" s="260"/>
    </row>
    <row r="73" spans="1:51" s="907" customFormat="1" ht="15" customHeight="1">
      <c r="A73" s="902"/>
      <c r="B73" s="903"/>
      <c r="C73" s="218" t="s">
        <v>76</v>
      </c>
      <c r="D73" s="904"/>
      <c r="E73" s="1846" t="str">
        <f>'Calculation (OLD)'!E35</f>
        <v>Annual allowance (For Doctor) / Washing allowance</v>
      </c>
      <c r="F73" s="1846"/>
      <c r="G73" s="1846"/>
      <c r="H73" s="1846"/>
      <c r="I73" s="1846"/>
      <c r="J73" s="1846"/>
      <c r="K73" s="1846"/>
      <c r="L73" s="1846"/>
      <c r="M73" s="1846"/>
      <c r="N73" s="1846"/>
      <c r="O73" s="1846"/>
      <c r="P73" s="1846"/>
      <c r="Q73" s="1846"/>
      <c r="R73" s="1846"/>
      <c r="S73" s="1846"/>
      <c r="T73" s="1846"/>
      <c r="U73" s="947"/>
      <c r="V73" s="948" t="s">
        <v>234</v>
      </c>
      <c r="W73" s="1848">
        <f>'Calculation (OLD)'!S35</f>
        <v>0</v>
      </c>
      <c r="X73" s="1848"/>
      <c r="Y73" s="1848"/>
      <c r="Z73" s="1848"/>
      <c r="AA73" s="1848"/>
      <c r="AB73" s="905"/>
      <c r="AC73" s="1852"/>
      <c r="AD73" s="1852"/>
      <c r="AE73" s="1852"/>
      <c r="AF73" s="1852"/>
      <c r="AG73" s="1852"/>
      <c r="AH73" s="905"/>
      <c r="AI73" s="1852"/>
      <c r="AJ73" s="1852"/>
      <c r="AK73" s="1852"/>
      <c r="AL73" s="1852"/>
      <c r="AM73" s="1852"/>
      <c r="AN73" s="904"/>
      <c r="AO73" s="904"/>
      <c r="AP73" s="906"/>
      <c r="AQ73" s="906"/>
      <c r="AR73" s="906"/>
      <c r="AS73" s="906"/>
      <c r="AT73" s="906"/>
      <c r="AU73" s="906"/>
      <c r="AV73" s="906"/>
      <c r="AW73" s="906"/>
      <c r="AX73" s="906"/>
      <c r="AY73" s="906"/>
    </row>
    <row r="74" spans="1:51" ht="15" customHeight="1">
      <c r="B74" s="259"/>
      <c r="C74" s="218" t="s">
        <v>76</v>
      </c>
      <c r="D74" s="904"/>
      <c r="E74" s="1846" t="str">
        <f>'Calculation (OLD)'!E36</f>
        <v>Permanent Travel Allowance (U/s 10[14][I]) Not Exempted</v>
      </c>
      <c r="F74" s="1846"/>
      <c r="G74" s="1846"/>
      <c r="H74" s="1846"/>
      <c r="I74" s="1846"/>
      <c r="J74" s="1846"/>
      <c r="K74" s="1846"/>
      <c r="L74" s="1846"/>
      <c r="M74" s="1846"/>
      <c r="N74" s="1846"/>
      <c r="O74" s="1846"/>
      <c r="P74" s="1846"/>
      <c r="Q74" s="1846"/>
      <c r="R74" s="1846"/>
      <c r="S74" s="1846"/>
      <c r="T74" s="1846"/>
      <c r="U74" s="947"/>
      <c r="V74" s="948" t="s">
        <v>234</v>
      </c>
      <c r="W74" s="1848">
        <f>'Calculation (OLD)'!S36</f>
        <v>0</v>
      </c>
      <c r="X74" s="1848"/>
      <c r="Y74" s="1848"/>
      <c r="Z74" s="1848"/>
      <c r="AA74" s="1848"/>
      <c r="AB74" s="325"/>
      <c r="AC74" s="1829"/>
      <c r="AD74" s="1829"/>
      <c r="AE74" s="1829"/>
      <c r="AF74" s="1829"/>
      <c r="AG74" s="1829"/>
      <c r="AH74" s="325"/>
      <c r="AI74" s="1829"/>
      <c r="AJ74" s="1829"/>
      <c r="AK74" s="1829"/>
      <c r="AL74" s="1829"/>
      <c r="AM74" s="1829"/>
      <c r="AN74" s="218"/>
      <c r="AO74" s="218"/>
      <c r="AY74" s="260"/>
    </row>
    <row r="75" spans="1:51" ht="15" customHeight="1">
      <c r="B75" s="259"/>
      <c r="C75" s="218" t="s">
        <v>77</v>
      </c>
      <c r="E75" s="1846" t="str">
        <f>'Calculation (OLD)'!E37</f>
        <v>Transportation allowance Section 10(14)(ii)</v>
      </c>
      <c r="F75" s="1846"/>
      <c r="G75" s="1846"/>
      <c r="H75" s="1846"/>
      <c r="I75" s="1846"/>
      <c r="J75" s="1846"/>
      <c r="K75" s="1846"/>
      <c r="L75" s="1846"/>
      <c r="M75" s="1846"/>
      <c r="N75" s="1846"/>
      <c r="O75" s="1846"/>
      <c r="P75" s="1846"/>
      <c r="Q75" s="1846"/>
      <c r="R75" s="1846"/>
      <c r="S75" s="1846"/>
      <c r="T75" s="1846"/>
      <c r="U75" s="947"/>
      <c r="V75" s="948" t="s">
        <v>234</v>
      </c>
      <c r="W75" s="1848">
        <f>'Calculation (OLD)'!S37</f>
        <v>0</v>
      </c>
      <c r="X75" s="1848"/>
      <c r="Y75" s="1848"/>
      <c r="Z75" s="1848"/>
      <c r="AA75" s="1848"/>
      <c r="AB75" s="325"/>
      <c r="AC75" s="1831"/>
      <c r="AD75" s="1831"/>
      <c r="AE75" s="1831"/>
      <c r="AF75" s="1831"/>
      <c r="AG75" s="1831"/>
      <c r="AH75" s="843"/>
      <c r="AI75" s="1853"/>
      <c r="AJ75" s="1853"/>
      <c r="AK75" s="1853"/>
      <c r="AL75" s="1853"/>
      <c r="AM75" s="1853"/>
      <c r="AN75" s="844"/>
      <c r="AO75" s="844"/>
      <c r="AY75" s="260"/>
    </row>
    <row r="76" spans="1:51" s="270" customFormat="1" ht="15" hidden="1" customHeight="1">
      <c r="A76" s="266"/>
      <c r="B76" s="259"/>
      <c r="C76" s="265"/>
      <c r="D76" s="268"/>
      <c r="E76" s="949"/>
      <c r="F76" s="950"/>
      <c r="G76" s="949"/>
      <c r="H76" s="951"/>
      <c r="I76" s="952"/>
      <c r="J76" s="952"/>
      <c r="K76" s="952"/>
      <c r="L76" s="952"/>
      <c r="M76" s="952"/>
      <c r="N76" s="952"/>
      <c r="O76" s="952"/>
      <c r="P76" s="952"/>
      <c r="Q76" s="952"/>
      <c r="R76" s="952"/>
      <c r="S76" s="952"/>
      <c r="T76" s="952"/>
      <c r="U76" s="947"/>
      <c r="V76" s="948"/>
      <c r="W76" s="1847"/>
      <c r="X76" s="1847"/>
      <c r="Y76" s="1847"/>
      <c r="Z76" s="1847"/>
      <c r="AA76" s="1847"/>
      <c r="AB76" s="586"/>
      <c r="AC76" s="1855"/>
      <c r="AD76" s="1855"/>
      <c r="AE76" s="1855"/>
      <c r="AF76" s="1855"/>
      <c r="AG76" s="1855"/>
      <c r="AH76" s="586"/>
      <c r="AI76" s="1854"/>
      <c r="AJ76" s="1854"/>
      <c r="AK76" s="1854"/>
      <c r="AL76" s="1854"/>
      <c r="AM76" s="1854"/>
      <c r="AN76" s="268"/>
      <c r="AO76" s="218"/>
      <c r="AP76" s="269"/>
      <c r="AQ76" s="269"/>
      <c r="AR76" s="269"/>
      <c r="AS76" s="269"/>
      <c r="AT76" s="269"/>
      <c r="AU76" s="269"/>
      <c r="AV76" s="269"/>
      <c r="AW76" s="269"/>
      <c r="AX76" s="269"/>
      <c r="AY76" s="269"/>
    </row>
    <row r="77" spans="1:51" s="270" customFormat="1" ht="15" hidden="1" customHeight="1">
      <c r="A77" s="266"/>
      <c r="B77" s="259"/>
      <c r="C77" s="267"/>
      <c r="D77" s="268"/>
      <c r="E77" s="949"/>
      <c r="F77" s="949"/>
      <c r="G77" s="949"/>
      <c r="H77" s="951"/>
      <c r="I77" s="953"/>
      <c r="J77" s="953"/>
      <c r="K77" s="953"/>
      <c r="L77" s="953"/>
      <c r="M77" s="953"/>
      <c r="N77" s="953"/>
      <c r="O77" s="953"/>
      <c r="P77" s="953"/>
      <c r="Q77" s="953"/>
      <c r="R77" s="953"/>
      <c r="S77" s="953"/>
      <c r="T77" s="944"/>
      <c r="U77" s="947"/>
      <c r="V77" s="948"/>
      <c r="W77" s="954"/>
      <c r="X77" s="954"/>
      <c r="Y77" s="954"/>
      <c r="Z77" s="954"/>
      <c r="AA77" s="954"/>
      <c r="AB77" s="325"/>
      <c r="AC77" s="325"/>
      <c r="AD77" s="325"/>
      <c r="AE77" s="325"/>
      <c r="AF77" s="325"/>
      <c r="AG77" s="325"/>
      <c r="AH77" s="325"/>
      <c r="AI77" s="325"/>
      <c r="AJ77" s="325"/>
      <c r="AK77" s="325"/>
      <c r="AL77" s="325"/>
      <c r="AM77" s="325"/>
      <c r="AN77" s="268"/>
      <c r="AO77" s="218"/>
      <c r="AP77" s="269"/>
      <c r="AQ77" s="269"/>
      <c r="AR77" s="269"/>
      <c r="AS77" s="269"/>
      <c r="AT77" s="269"/>
      <c r="AU77" s="269"/>
      <c r="AV77" s="269"/>
      <c r="AW77" s="269"/>
      <c r="AX77" s="269"/>
      <c r="AY77" s="269"/>
    </row>
    <row r="78" spans="1:51" ht="15" hidden="1" customHeight="1">
      <c r="B78" s="259"/>
      <c r="C78" s="267"/>
      <c r="T78" s="326"/>
      <c r="V78" s="325"/>
      <c r="W78" s="1831"/>
      <c r="X78" s="1831"/>
      <c r="Y78" s="1831"/>
      <c r="Z78" s="1831"/>
      <c r="AA78" s="1831"/>
      <c r="AB78" s="325"/>
      <c r="AC78" s="1831"/>
      <c r="AD78" s="1831"/>
      <c r="AE78" s="1831"/>
      <c r="AF78" s="1831"/>
      <c r="AG78" s="1831"/>
      <c r="AH78" s="325"/>
      <c r="AI78" s="1829"/>
      <c r="AJ78" s="1829"/>
      <c r="AK78" s="1829"/>
      <c r="AL78" s="1829"/>
      <c r="AM78" s="1829"/>
      <c r="AN78" s="218"/>
      <c r="AO78" s="218"/>
      <c r="AY78" s="260"/>
    </row>
    <row r="79" spans="1:51">
      <c r="B79" s="259"/>
      <c r="C79" s="267"/>
      <c r="E79" s="218" t="s">
        <v>540</v>
      </c>
      <c r="T79" s="326"/>
      <c r="V79" s="325"/>
      <c r="W79" s="1844"/>
      <c r="X79" s="1844"/>
      <c r="Y79" s="1844"/>
      <c r="Z79" s="1844"/>
      <c r="AA79" s="1844"/>
      <c r="AB79" s="325"/>
      <c r="AC79" s="1829"/>
      <c r="AD79" s="1829"/>
      <c r="AE79" s="1829"/>
      <c r="AF79" s="1829"/>
      <c r="AG79" s="1829"/>
      <c r="AH79" s="325"/>
      <c r="AI79" s="1829"/>
      <c r="AJ79" s="1829"/>
      <c r="AK79" s="1829"/>
      <c r="AL79" s="1829"/>
      <c r="AM79" s="1829"/>
      <c r="AN79" s="218"/>
      <c r="AO79" s="218"/>
      <c r="AY79" s="260"/>
    </row>
    <row r="80" spans="1:51">
      <c r="B80" s="259"/>
      <c r="C80" s="218" t="s">
        <v>131</v>
      </c>
      <c r="G80" s="218" t="str">
        <f>'Calculation (OLD)'!E38</f>
        <v>Professional Tax U/S 16(U)</v>
      </c>
      <c r="T80" s="326"/>
      <c r="U80" s="237"/>
      <c r="V80" s="325" t="s">
        <v>234</v>
      </c>
      <c r="W80" s="1830">
        <f>'Calculation (OLD)'!S38</f>
        <v>2400</v>
      </c>
      <c r="X80" s="1830"/>
      <c r="Y80" s="1830"/>
      <c r="Z80" s="1830"/>
      <c r="AA80" s="1830"/>
      <c r="AB80" s="325"/>
      <c r="AC80" s="1829"/>
      <c r="AD80" s="1829"/>
      <c r="AE80" s="1829"/>
      <c r="AF80" s="1829"/>
      <c r="AG80" s="1829"/>
      <c r="AH80" s="325"/>
      <c r="AI80" s="1829"/>
      <c r="AJ80" s="1829"/>
      <c r="AK80" s="1829"/>
      <c r="AL80" s="1829"/>
      <c r="AM80" s="1829"/>
      <c r="AN80" s="218"/>
      <c r="AO80" s="218"/>
      <c r="AY80" s="260"/>
    </row>
    <row r="81" spans="2:51">
      <c r="B81" s="259"/>
      <c r="C81" s="218" t="s">
        <v>132</v>
      </c>
      <c r="G81" s="218" t="str">
        <f>'Calculation (OLD)'!E40</f>
        <v>Sumptuary Allowance (U/s 10(45)) / LTC  (U/s 10(5))</v>
      </c>
      <c r="T81" s="326"/>
      <c r="U81" s="237"/>
      <c r="V81" s="325" t="s">
        <v>234</v>
      </c>
      <c r="W81" s="1830">
        <f>'Calculation (OLD)'!S40</f>
        <v>45786</v>
      </c>
      <c r="X81" s="1830"/>
      <c r="Y81" s="1830"/>
      <c r="Z81" s="1830"/>
      <c r="AA81" s="1830"/>
      <c r="AB81" s="325"/>
      <c r="AC81" s="1829"/>
      <c r="AD81" s="1829"/>
      <c r="AE81" s="1829"/>
      <c r="AF81" s="1829"/>
      <c r="AG81" s="1829"/>
      <c r="AH81" s="325"/>
      <c r="AI81" s="1829"/>
      <c r="AJ81" s="1829"/>
      <c r="AK81" s="1829"/>
      <c r="AL81" s="1829"/>
      <c r="AM81" s="1829"/>
      <c r="AN81" s="218"/>
      <c r="AO81" s="218"/>
      <c r="AY81" s="260"/>
    </row>
    <row r="82" spans="2:51">
      <c r="B82" s="259"/>
      <c r="C82" s="218" t="s">
        <v>137</v>
      </c>
      <c r="G82" s="218" t="str">
        <f>'Calculation (OLD)'!E41</f>
        <v>Entertainment allowance section 16(ii)</v>
      </c>
      <c r="T82" s="326"/>
      <c r="U82" s="237"/>
      <c r="V82" s="325" t="s">
        <v>234</v>
      </c>
      <c r="W82" s="1830">
        <f>'Calculation (OLD)'!S41</f>
        <v>0</v>
      </c>
      <c r="X82" s="1830"/>
      <c r="Y82" s="1830"/>
      <c r="Z82" s="1830"/>
      <c r="AA82" s="1830"/>
      <c r="AB82" s="325"/>
      <c r="AC82" s="1829"/>
      <c r="AD82" s="1829"/>
      <c r="AE82" s="1829"/>
      <c r="AF82" s="1829"/>
      <c r="AG82" s="1829"/>
      <c r="AH82" s="325"/>
      <c r="AI82" s="1829"/>
      <c r="AJ82" s="1829"/>
      <c r="AK82" s="1829"/>
      <c r="AL82" s="1829"/>
      <c r="AM82" s="1829"/>
      <c r="AN82" s="218"/>
      <c r="AO82" s="218"/>
      <c r="AY82" s="260"/>
    </row>
    <row r="83" spans="2:51">
      <c r="B83" s="259"/>
      <c r="G83" s="972" t="s">
        <v>544</v>
      </c>
      <c r="H83" s="973"/>
      <c r="I83" s="973"/>
      <c r="J83" s="973"/>
      <c r="K83" s="973"/>
      <c r="L83" s="973"/>
      <c r="M83" s="973"/>
      <c r="N83" s="973"/>
      <c r="O83" s="973"/>
      <c r="P83" s="973"/>
      <c r="Q83" s="973"/>
      <c r="R83" s="973"/>
      <c r="S83" s="973"/>
      <c r="T83" s="974"/>
      <c r="U83" s="975"/>
      <c r="V83" s="976"/>
      <c r="W83" s="977"/>
      <c r="X83" s="977"/>
      <c r="Y83" s="977"/>
      <c r="Z83" s="977"/>
      <c r="AA83" s="983"/>
      <c r="AB83" s="984"/>
      <c r="AC83" s="1845"/>
      <c r="AD83" s="1845"/>
      <c r="AE83" s="1845"/>
      <c r="AF83" s="1845"/>
      <c r="AG83" s="1845"/>
      <c r="AH83" s="984"/>
      <c r="AI83" s="984"/>
      <c r="AJ83" s="325"/>
      <c r="AK83" s="325"/>
      <c r="AL83" s="325"/>
      <c r="AM83" s="325"/>
      <c r="AN83" s="218"/>
      <c r="AO83" s="218"/>
      <c r="AY83" s="260"/>
    </row>
    <row r="84" spans="2:51">
      <c r="B84" s="259"/>
      <c r="C84" s="267"/>
      <c r="E84" s="218" t="str">
        <f>'Calculation (OLD)'!E42</f>
        <v>Less : Deduction Admissible</v>
      </c>
      <c r="T84" s="326"/>
      <c r="U84" s="237"/>
      <c r="V84" s="325"/>
      <c r="W84" s="355"/>
      <c r="X84" s="355"/>
      <c r="Y84" s="355"/>
      <c r="Z84" s="355"/>
      <c r="AA84" s="355"/>
      <c r="AB84" s="325" t="s">
        <v>234</v>
      </c>
      <c r="AC84" s="1837">
        <f>W72+W73+W75+W80+W81+W82</f>
        <v>48186</v>
      </c>
      <c r="AD84" s="1838"/>
      <c r="AE84" s="1838"/>
      <c r="AF84" s="1838"/>
      <c r="AG84" s="1839"/>
      <c r="AN84" s="218"/>
      <c r="AO84" s="218"/>
      <c r="AY84" s="260"/>
    </row>
    <row r="85" spans="2:51">
      <c r="B85" s="259"/>
      <c r="C85" s="267"/>
      <c r="E85" s="1039">
        <f>'Calculation (OLD)'!E43</f>
        <v>0</v>
      </c>
      <c r="T85" s="326"/>
      <c r="U85" s="237"/>
      <c r="V85" s="325"/>
      <c r="W85" s="355"/>
      <c r="X85" s="355"/>
      <c r="Y85" s="355"/>
      <c r="Z85" s="355"/>
      <c r="AA85" s="1056"/>
      <c r="AB85" s="1057" t="s">
        <v>234</v>
      </c>
      <c r="AC85" s="1836">
        <f>'Calculation (OLD)'!V43</f>
        <v>0</v>
      </c>
      <c r="AD85" s="1836"/>
      <c r="AE85" s="1836"/>
      <c r="AF85" s="1836"/>
      <c r="AG85" s="1836"/>
      <c r="AH85" s="1058"/>
      <c r="AN85" s="218"/>
      <c r="AO85" s="218"/>
      <c r="AY85" s="260"/>
    </row>
    <row r="86" spans="2:51">
      <c r="B86" s="259"/>
      <c r="G86" s="237" t="str">
        <f>'Calculation (OLD)'!D44</f>
        <v>Balance [ 3-3A ]</v>
      </c>
      <c r="H86" s="931"/>
      <c r="I86" s="931"/>
      <c r="J86" s="931"/>
      <c r="K86" s="931"/>
      <c r="L86" s="931"/>
      <c r="M86" s="931"/>
      <c r="N86" s="931"/>
      <c r="O86" s="931"/>
      <c r="P86" s="931"/>
      <c r="Q86" s="931"/>
      <c r="R86" s="931"/>
      <c r="S86" s="931"/>
      <c r="T86" s="373"/>
      <c r="U86" s="237"/>
      <c r="V86" s="325"/>
      <c r="W86" s="956"/>
      <c r="X86" s="956"/>
      <c r="Y86" s="956"/>
      <c r="Z86" s="956"/>
      <c r="AA86" s="956"/>
      <c r="AB86" s="955" t="s">
        <v>234</v>
      </c>
      <c r="AC86" s="1837">
        <f>AC69-(AC84+AC85)</f>
        <v>858523</v>
      </c>
      <c r="AD86" s="1838"/>
      <c r="AE86" s="1838"/>
      <c r="AF86" s="1838"/>
      <c r="AG86" s="1839"/>
      <c r="AH86" s="325"/>
      <c r="AI86" s="325"/>
      <c r="AJ86" s="325"/>
      <c r="AK86" s="325"/>
      <c r="AL86" s="325"/>
      <c r="AM86" s="325"/>
      <c r="AN86" s="218"/>
      <c r="AO86" s="218"/>
      <c r="AY86" s="260"/>
    </row>
    <row r="87" spans="2:51">
      <c r="B87" s="259"/>
      <c r="C87" s="218">
        <v>4</v>
      </c>
      <c r="G87" s="1105" t="str">
        <f>'Other than Salary Income'!C81</f>
        <v>HBA Interest U/S 24(1) (vi)</v>
      </c>
      <c r="H87" s="1105"/>
      <c r="I87" s="1105"/>
      <c r="J87" s="1105"/>
      <c r="K87" s="1105"/>
      <c r="L87" s="1105"/>
      <c r="M87" s="1105"/>
      <c r="N87" s="1105"/>
      <c r="O87" s="1105"/>
      <c r="P87" s="1105"/>
      <c r="Q87" s="1106"/>
      <c r="R87" s="1106"/>
      <c r="S87" s="1106"/>
      <c r="T87" s="1107"/>
      <c r="U87" s="1108"/>
      <c r="V87" s="586" t="s">
        <v>234</v>
      </c>
      <c r="W87" s="1833">
        <f>'Calculation (OLD)'!V46</f>
        <v>13000</v>
      </c>
      <c r="X87" s="1833"/>
      <c r="Y87" s="1833"/>
      <c r="Z87" s="1833"/>
      <c r="AA87" s="1833"/>
      <c r="AB87" s="325"/>
      <c r="AC87" s="355"/>
      <c r="AD87" s="355"/>
      <c r="AE87" s="355"/>
      <c r="AF87" s="355"/>
      <c r="AG87" s="355"/>
      <c r="AH87" s="325"/>
      <c r="AI87" s="325"/>
      <c r="AJ87" s="325"/>
      <c r="AK87" s="325"/>
      <c r="AL87" s="325"/>
      <c r="AM87" s="325"/>
      <c r="AN87" s="218"/>
      <c r="AO87" s="218"/>
      <c r="AY87" s="260"/>
    </row>
    <row r="88" spans="2:51">
      <c r="B88" s="259"/>
      <c r="C88" s="218" t="s">
        <v>551</v>
      </c>
      <c r="G88" s="367" t="s">
        <v>543</v>
      </c>
      <c r="H88" s="931"/>
      <c r="I88" s="931"/>
      <c r="J88" s="931"/>
      <c r="K88" s="931"/>
      <c r="L88" s="931"/>
      <c r="M88" s="931"/>
      <c r="N88" s="931"/>
      <c r="O88" s="931"/>
      <c r="P88" s="931"/>
      <c r="Q88" s="931"/>
      <c r="R88" s="931"/>
      <c r="S88" s="931"/>
      <c r="T88" s="373"/>
      <c r="U88" s="237"/>
      <c r="V88" s="325" t="s">
        <v>234</v>
      </c>
      <c r="W88" s="1832"/>
      <c r="X88" s="1832"/>
      <c r="Y88" s="1832"/>
      <c r="Z88" s="1832"/>
      <c r="AA88" s="1832"/>
      <c r="AB88" s="325"/>
      <c r="AC88" s="355"/>
      <c r="AD88" s="355"/>
      <c r="AE88" s="355"/>
      <c r="AF88" s="355"/>
      <c r="AG88" s="355"/>
      <c r="AH88" s="325"/>
      <c r="AI88" s="325"/>
      <c r="AJ88" s="325"/>
      <c r="AK88" s="325"/>
      <c r="AL88" s="325"/>
      <c r="AM88" s="325"/>
      <c r="AN88" s="218"/>
      <c r="AO88" s="218"/>
      <c r="AY88" s="260"/>
    </row>
    <row r="89" spans="2:51">
      <c r="B89" s="259"/>
      <c r="G89" s="237" t="s">
        <v>552</v>
      </c>
      <c r="H89" s="931"/>
      <c r="I89" s="931"/>
      <c r="J89" s="931"/>
      <c r="K89" s="931"/>
      <c r="L89" s="931"/>
      <c r="M89" s="931"/>
      <c r="N89" s="931"/>
      <c r="O89" s="931"/>
      <c r="P89" s="931"/>
      <c r="Q89" s="931"/>
      <c r="R89" s="931"/>
      <c r="S89" s="931"/>
      <c r="T89" s="373"/>
      <c r="U89" s="237"/>
      <c r="V89" s="325"/>
      <c r="W89" s="956"/>
      <c r="X89" s="956"/>
      <c r="Y89" s="956"/>
      <c r="Z89" s="956"/>
      <c r="AA89" s="956"/>
      <c r="AB89" s="955" t="s">
        <v>234</v>
      </c>
      <c r="AC89" s="1837">
        <f>W87+W88</f>
        <v>13000</v>
      </c>
      <c r="AD89" s="1838"/>
      <c r="AE89" s="1838"/>
      <c r="AF89" s="1838"/>
      <c r="AG89" s="1839"/>
      <c r="AH89" s="325"/>
      <c r="AI89" s="325"/>
      <c r="AJ89" s="325"/>
      <c r="AK89" s="325"/>
      <c r="AL89" s="325"/>
      <c r="AM89" s="325"/>
      <c r="AN89" s="218"/>
      <c r="AO89" s="218"/>
      <c r="AY89" s="260"/>
    </row>
    <row r="90" spans="2:51" ht="15" customHeight="1">
      <c r="B90" s="259"/>
      <c r="C90" s="267"/>
      <c r="O90" s="271"/>
      <c r="P90" s="271"/>
      <c r="Q90" s="271"/>
      <c r="R90" s="271"/>
      <c r="S90" s="271"/>
      <c r="U90" s="237"/>
      <c r="V90" s="325"/>
      <c r="W90" s="1831"/>
      <c r="X90" s="1831"/>
      <c r="Y90" s="1831"/>
      <c r="Z90" s="1831"/>
      <c r="AA90" s="1831"/>
      <c r="AB90" s="325"/>
      <c r="AC90" s="1843"/>
      <c r="AD90" s="1843"/>
      <c r="AE90" s="1843"/>
      <c r="AF90" s="1843"/>
      <c r="AG90" s="1843"/>
      <c r="AH90" s="325"/>
      <c r="AI90" s="1829"/>
      <c r="AJ90" s="1829"/>
      <c r="AK90" s="1829"/>
      <c r="AL90" s="1829"/>
      <c r="AM90" s="1829"/>
      <c r="AN90" s="218"/>
      <c r="AO90" s="218"/>
      <c r="AY90" s="260"/>
    </row>
    <row r="91" spans="2:51">
      <c r="B91" s="259"/>
      <c r="G91" s="367"/>
      <c r="H91" s="931"/>
      <c r="I91" s="931"/>
      <c r="J91" s="931"/>
      <c r="K91" s="931"/>
      <c r="L91" s="931"/>
      <c r="M91" s="931"/>
      <c r="N91" s="931"/>
      <c r="O91" s="931"/>
      <c r="P91" s="931"/>
      <c r="Q91" s="931"/>
      <c r="R91" s="931"/>
      <c r="S91" s="931"/>
      <c r="T91" s="373"/>
      <c r="U91" s="237"/>
      <c r="V91" s="325"/>
      <c r="W91" s="956"/>
      <c r="X91" s="956"/>
      <c r="Y91" s="956"/>
      <c r="Z91" s="956"/>
      <c r="AA91" s="956"/>
      <c r="AB91" s="325"/>
      <c r="AC91" s="355"/>
      <c r="AD91" s="355"/>
      <c r="AE91" s="355"/>
      <c r="AF91" s="355"/>
      <c r="AG91" s="355"/>
      <c r="AH91" s="325"/>
      <c r="AI91" s="325"/>
      <c r="AJ91" s="325"/>
      <c r="AK91" s="325"/>
      <c r="AL91" s="325"/>
      <c r="AM91" s="325"/>
      <c r="AN91" s="218"/>
      <c r="AO91" s="218"/>
      <c r="AY91" s="260"/>
    </row>
    <row r="92" spans="2:51">
      <c r="B92" s="259"/>
      <c r="C92" s="267" t="s">
        <v>242</v>
      </c>
      <c r="E92" s="218" t="s">
        <v>243</v>
      </c>
      <c r="V92" s="325"/>
      <c r="W92" s="1831"/>
      <c r="X92" s="1831"/>
      <c r="Y92" s="1831"/>
      <c r="Z92" s="1831"/>
      <c r="AA92" s="1831"/>
      <c r="AB92" s="325" t="s">
        <v>234</v>
      </c>
      <c r="AC92" s="1837">
        <f>AC86-AC89</f>
        <v>845523</v>
      </c>
      <c r="AD92" s="1838"/>
      <c r="AE92" s="1838"/>
      <c r="AF92" s="1838"/>
      <c r="AG92" s="1839"/>
      <c r="AN92" s="218"/>
      <c r="AO92" s="218"/>
      <c r="AY92" s="260"/>
    </row>
    <row r="93" spans="2:51" ht="5.25" customHeight="1">
      <c r="B93" s="259"/>
      <c r="C93" s="267"/>
      <c r="V93" s="325"/>
      <c r="W93" s="355"/>
      <c r="X93" s="355"/>
      <c r="Y93" s="355"/>
      <c r="Z93" s="355"/>
      <c r="AA93" s="355"/>
      <c r="AB93" s="325"/>
      <c r="AC93" s="325"/>
      <c r="AD93" s="325"/>
      <c r="AE93" s="325"/>
      <c r="AF93" s="325"/>
      <c r="AG93" s="325"/>
      <c r="AH93" s="325"/>
      <c r="AI93" s="325"/>
      <c r="AJ93" s="325"/>
      <c r="AK93" s="325"/>
      <c r="AL93" s="325"/>
      <c r="AM93" s="325"/>
      <c r="AN93" s="218"/>
      <c r="AO93" s="218"/>
      <c r="AY93" s="260"/>
    </row>
    <row r="94" spans="2:51" hidden="1"/>
    <row r="95" spans="2:51" hidden="1"/>
    <row r="96" spans="2:51" hidden="1"/>
    <row r="97" spans="1:51" hidden="1"/>
    <row r="98" spans="1:51" hidden="1"/>
    <row r="99" spans="1:51" hidden="1"/>
    <row r="100" spans="1:51"/>
    <row r="101" spans="1:51" s="274" customFormat="1" ht="15" customHeight="1">
      <c r="A101" s="209"/>
      <c r="B101" s="268"/>
      <c r="C101" s="957" t="s">
        <v>545</v>
      </c>
      <c r="D101" s="218" t="s">
        <v>244</v>
      </c>
      <c r="E101" s="218"/>
      <c r="F101" s="218"/>
      <c r="G101" s="218"/>
      <c r="H101" s="218"/>
      <c r="I101" s="218"/>
      <c r="J101" s="218"/>
      <c r="K101" s="218"/>
      <c r="L101" s="218"/>
      <c r="M101" s="218"/>
      <c r="N101" s="218"/>
      <c r="O101" s="218"/>
      <c r="P101" s="218"/>
      <c r="Q101" s="218"/>
      <c r="R101" s="218"/>
      <c r="S101" s="218"/>
      <c r="T101" s="218"/>
      <c r="U101" s="218"/>
      <c r="V101" s="325"/>
      <c r="W101" s="355"/>
      <c r="X101" s="355"/>
      <c r="Y101" s="355"/>
      <c r="Z101" s="355"/>
      <c r="AA101" s="355"/>
      <c r="AB101" s="325"/>
      <c r="AC101" s="1829"/>
      <c r="AD101" s="1829"/>
      <c r="AE101" s="1829"/>
      <c r="AF101" s="1829"/>
      <c r="AG101" s="1829"/>
      <c r="AH101" s="325" t="s">
        <v>234</v>
      </c>
      <c r="AI101" s="1840">
        <f>AC92</f>
        <v>845523</v>
      </c>
      <c r="AJ101" s="1841"/>
      <c r="AK101" s="1841"/>
      <c r="AL101" s="1841"/>
      <c r="AM101" s="1842"/>
      <c r="AN101" s="218"/>
      <c r="AO101" s="218"/>
      <c r="AP101" s="263"/>
      <c r="AQ101" s="263"/>
      <c r="AR101" s="263"/>
      <c r="AS101" s="263"/>
      <c r="AT101" s="263"/>
      <c r="AU101" s="263"/>
      <c r="AV101" s="263"/>
      <c r="AW101" s="263"/>
      <c r="AX101" s="263"/>
      <c r="AY101" s="263"/>
    </row>
    <row r="102" spans="1:51" s="274" customFormat="1" ht="10.5" customHeight="1">
      <c r="A102" s="209"/>
      <c r="B102" s="268"/>
      <c r="C102" s="272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218"/>
      <c r="R102" s="218"/>
      <c r="S102" s="218"/>
      <c r="T102" s="218"/>
      <c r="U102" s="218"/>
      <c r="V102" s="325"/>
      <c r="W102" s="355"/>
      <c r="X102" s="355"/>
      <c r="Y102" s="355"/>
      <c r="Z102" s="355"/>
      <c r="AA102" s="355"/>
      <c r="AB102" s="325"/>
      <c r="AC102" s="325"/>
      <c r="AD102" s="325"/>
      <c r="AE102" s="325"/>
      <c r="AF102" s="325"/>
      <c r="AG102" s="325"/>
      <c r="AH102" s="325"/>
      <c r="AI102" s="325"/>
      <c r="AJ102" s="325"/>
      <c r="AK102" s="325"/>
      <c r="AL102" s="325"/>
      <c r="AM102" s="325"/>
      <c r="AN102" s="218"/>
      <c r="AO102" s="218"/>
      <c r="AP102" s="263"/>
      <c r="AQ102" s="263"/>
      <c r="AR102" s="263"/>
      <c r="AS102" s="263"/>
      <c r="AT102" s="263"/>
      <c r="AU102" s="263"/>
      <c r="AV102" s="263"/>
      <c r="AW102" s="263"/>
      <c r="AX102" s="263"/>
      <c r="AY102" s="263"/>
    </row>
    <row r="103" spans="1:51" ht="10.5" customHeight="1">
      <c r="AN103" s="218"/>
      <c r="AO103" s="218"/>
    </row>
    <row r="104" spans="1:51" s="283" customFormat="1" ht="18.75">
      <c r="A104" s="280"/>
      <c r="B104" s="281"/>
      <c r="C104" s="284" t="s">
        <v>246</v>
      </c>
      <c r="D104" s="285"/>
      <c r="E104" s="285"/>
      <c r="F104" s="285"/>
      <c r="G104" s="285"/>
      <c r="H104" s="285"/>
      <c r="I104" s="285"/>
      <c r="J104" s="285"/>
      <c r="K104" s="285"/>
      <c r="L104" s="285"/>
      <c r="M104" s="285"/>
      <c r="N104" s="285"/>
      <c r="O104" s="285"/>
      <c r="P104" s="285"/>
      <c r="Q104" s="285"/>
      <c r="R104" s="285"/>
      <c r="S104" s="285"/>
      <c r="T104" s="285"/>
      <c r="U104" s="285"/>
      <c r="V104" s="285"/>
      <c r="W104" s="285"/>
      <c r="X104" s="285"/>
      <c r="Y104" s="285"/>
      <c r="Z104" s="285"/>
      <c r="AA104" s="285"/>
      <c r="AB104" s="285"/>
      <c r="AC104" s="285"/>
      <c r="AD104" s="285"/>
      <c r="AE104" s="285"/>
      <c r="AF104" s="285"/>
      <c r="AG104" s="285"/>
      <c r="AH104" s="285"/>
      <c r="AI104" s="285"/>
      <c r="AJ104" s="285"/>
      <c r="AK104" s="285"/>
      <c r="AL104" s="285"/>
      <c r="AM104" s="285"/>
      <c r="AN104" s="285"/>
      <c r="AO104" s="282"/>
      <c r="AP104" s="282"/>
      <c r="AQ104" s="282"/>
      <c r="AR104" s="282"/>
      <c r="AS104" s="282"/>
      <c r="AT104" s="282"/>
      <c r="AU104" s="282"/>
      <c r="AV104" s="282"/>
      <c r="AW104" s="282"/>
      <c r="AX104" s="282"/>
    </row>
    <row r="105" spans="1:51" hidden="1">
      <c r="AN105" s="218"/>
      <c r="AO105" s="218"/>
    </row>
    <row r="106" spans="1:51" hidden="1">
      <c r="AN106" s="218"/>
      <c r="AO106" s="218"/>
    </row>
    <row r="107" spans="1:51" hidden="1">
      <c r="AN107" s="218"/>
      <c r="AO107" s="218"/>
    </row>
    <row r="108" spans="1:51" hidden="1">
      <c r="AN108" s="218"/>
      <c r="AO108" s="218"/>
    </row>
    <row r="109" spans="1:51" hidden="1">
      <c r="AN109" s="218"/>
      <c r="AO109" s="218"/>
    </row>
    <row r="110" spans="1:51" hidden="1">
      <c r="AN110" s="218"/>
      <c r="AO110" s="218"/>
    </row>
    <row r="111" spans="1:51" hidden="1">
      <c r="AN111" s="218"/>
      <c r="AO111" s="218"/>
    </row>
    <row r="112" spans="1:51" hidden="1">
      <c r="AN112" s="218"/>
      <c r="AO112" s="218"/>
    </row>
    <row r="113" spans="28:41" hidden="1">
      <c r="AB113" s="279"/>
      <c r="AC113" s="279"/>
      <c r="AD113" s="279"/>
      <c r="AE113" s="279"/>
      <c r="AF113" s="279"/>
      <c r="AG113" s="279"/>
      <c r="AH113" s="279"/>
      <c r="AI113" s="279"/>
      <c r="AJ113" s="279"/>
      <c r="AK113" s="279"/>
      <c r="AL113" s="279"/>
      <c r="AM113" s="279"/>
      <c r="AN113" s="279"/>
      <c r="AO113" s="279"/>
    </row>
    <row r="114" spans="28:41" hidden="1">
      <c r="AB114" s="279"/>
      <c r="AC114" s="279"/>
      <c r="AD114" s="279"/>
      <c r="AE114" s="279"/>
      <c r="AF114" s="279"/>
      <c r="AG114" s="279"/>
      <c r="AH114" s="279"/>
      <c r="AI114" s="279"/>
      <c r="AJ114" s="279"/>
      <c r="AK114" s="279"/>
      <c r="AL114" s="279"/>
      <c r="AM114" s="279"/>
      <c r="AN114" s="279"/>
      <c r="AO114" s="279"/>
    </row>
    <row r="115" spans="28:41" hidden="1">
      <c r="AB115" s="279"/>
      <c r="AC115" s="279"/>
      <c r="AD115" s="279"/>
      <c r="AE115" s="279"/>
      <c r="AF115" s="279"/>
      <c r="AG115" s="279"/>
      <c r="AH115" s="279"/>
      <c r="AI115" s="279"/>
      <c r="AJ115" s="279"/>
      <c r="AK115" s="279"/>
      <c r="AL115" s="279"/>
      <c r="AM115" s="279"/>
      <c r="AN115" s="279"/>
      <c r="AO115" s="279"/>
    </row>
    <row r="116" spans="28:41" hidden="1">
      <c r="AB116" s="279"/>
      <c r="AC116" s="279"/>
      <c r="AD116" s="279"/>
      <c r="AE116" s="279"/>
      <c r="AF116" s="279"/>
      <c r="AG116" s="279"/>
      <c r="AH116" s="279"/>
      <c r="AI116" s="279"/>
      <c r="AJ116" s="279"/>
      <c r="AK116" s="279"/>
      <c r="AL116" s="279"/>
      <c r="AM116" s="279"/>
      <c r="AN116" s="279"/>
      <c r="AO116" s="279"/>
    </row>
    <row r="117" spans="28:41" hidden="1">
      <c r="AB117" s="279"/>
      <c r="AC117" s="279"/>
      <c r="AD117" s="279"/>
      <c r="AE117" s="279"/>
      <c r="AF117" s="279"/>
      <c r="AG117" s="279"/>
      <c r="AH117" s="279"/>
      <c r="AI117" s="279"/>
      <c r="AJ117" s="279"/>
      <c r="AK117" s="279"/>
      <c r="AL117" s="279"/>
      <c r="AM117" s="279"/>
      <c r="AN117" s="279"/>
      <c r="AO117" s="279"/>
    </row>
    <row r="118" spans="28:41" hidden="1">
      <c r="AB118" s="279"/>
      <c r="AC118" s="279"/>
      <c r="AD118" s="279"/>
      <c r="AE118" s="279"/>
      <c r="AF118" s="279"/>
      <c r="AG118" s="279"/>
      <c r="AH118" s="279"/>
      <c r="AI118" s="279"/>
      <c r="AJ118" s="279"/>
      <c r="AK118" s="279"/>
      <c r="AL118" s="279"/>
      <c r="AM118" s="279"/>
      <c r="AN118" s="279"/>
      <c r="AO118" s="279"/>
    </row>
    <row r="119" spans="28:41" hidden="1">
      <c r="AB119" s="279"/>
      <c r="AC119" s="279"/>
      <c r="AD119" s="279"/>
      <c r="AE119" s="279"/>
      <c r="AF119" s="279"/>
      <c r="AG119" s="279"/>
      <c r="AH119" s="279"/>
      <c r="AI119" s="279"/>
      <c r="AJ119" s="279"/>
      <c r="AK119" s="279"/>
      <c r="AL119" s="279"/>
      <c r="AM119" s="279"/>
      <c r="AN119" s="279"/>
      <c r="AO119" s="279"/>
    </row>
    <row r="120" spans="28:41" hidden="1">
      <c r="AB120" s="279"/>
      <c r="AC120" s="279"/>
      <c r="AD120" s="279"/>
      <c r="AE120" s="279"/>
      <c r="AF120" s="279"/>
      <c r="AG120" s="279"/>
      <c r="AH120" s="279"/>
      <c r="AI120" s="279"/>
      <c r="AJ120" s="279"/>
      <c r="AK120" s="279"/>
      <c r="AL120" s="279"/>
      <c r="AM120" s="279"/>
      <c r="AN120" s="279"/>
      <c r="AO120" s="279"/>
    </row>
    <row r="121" spans="28:41" hidden="1">
      <c r="AB121" s="279"/>
      <c r="AC121" s="279"/>
      <c r="AD121" s="279"/>
      <c r="AE121" s="279"/>
      <c r="AF121" s="279"/>
      <c r="AG121" s="279"/>
      <c r="AH121" s="279"/>
      <c r="AI121" s="279"/>
      <c r="AJ121" s="279"/>
      <c r="AK121" s="279"/>
      <c r="AL121" s="279"/>
      <c r="AM121" s="279"/>
      <c r="AN121" s="279"/>
      <c r="AO121" s="279"/>
    </row>
    <row r="122" spans="28:41" hidden="1">
      <c r="AB122" s="279"/>
      <c r="AC122" s="279"/>
      <c r="AD122" s="279"/>
      <c r="AE122" s="279"/>
      <c r="AF122" s="279"/>
      <c r="AG122" s="279"/>
      <c r="AH122" s="279"/>
      <c r="AI122" s="279"/>
      <c r="AJ122" s="279"/>
      <c r="AK122" s="279"/>
      <c r="AL122" s="279"/>
      <c r="AM122" s="279"/>
      <c r="AN122" s="279"/>
      <c r="AO122" s="279"/>
    </row>
    <row r="123" spans="28:41" hidden="1">
      <c r="AB123" s="279"/>
      <c r="AC123" s="279"/>
      <c r="AD123" s="279"/>
      <c r="AE123" s="279"/>
      <c r="AF123" s="279"/>
      <c r="AG123" s="279"/>
      <c r="AH123" s="279"/>
      <c r="AI123" s="279"/>
      <c r="AJ123" s="279"/>
      <c r="AK123" s="279"/>
      <c r="AL123" s="279"/>
      <c r="AM123" s="279"/>
      <c r="AN123" s="279"/>
      <c r="AO123" s="279"/>
    </row>
    <row r="124" spans="28:41" hidden="1">
      <c r="AB124" s="279"/>
      <c r="AC124" s="279"/>
      <c r="AD124" s="279"/>
      <c r="AE124" s="279"/>
      <c r="AF124" s="279"/>
      <c r="AG124" s="279"/>
      <c r="AH124" s="279"/>
      <c r="AI124" s="279"/>
      <c r="AJ124" s="279"/>
      <c r="AK124" s="279"/>
      <c r="AL124" s="279"/>
      <c r="AM124" s="279"/>
      <c r="AN124" s="279"/>
      <c r="AO124" s="279"/>
    </row>
    <row r="125" spans="28:41" hidden="1">
      <c r="AB125" s="279"/>
      <c r="AC125" s="279"/>
      <c r="AD125" s="279"/>
      <c r="AE125" s="279"/>
      <c r="AF125" s="279"/>
      <c r="AG125" s="279"/>
      <c r="AH125" s="279"/>
      <c r="AI125" s="279"/>
      <c r="AJ125" s="279"/>
      <c r="AK125" s="279"/>
      <c r="AL125" s="279"/>
      <c r="AM125" s="279"/>
      <c r="AN125" s="279"/>
      <c r="AO125" s="279"/>
    </row>
    <row r="126" spans="28:41" hidden="1">
      <c r="AB126" s="279"/>
      <c r="AC126" s="279"/>
      <c r="AD126" s="279"/>
      <c r="AE126" s="279"/>
      <c r="AF126" s="279"/>
      <c r="AG126" s="279"/>
      <c r="AH126" s="279"/>
      <c r="AI126" s="279"/>
      <c r="AJ126" s="279"/>
      <c r="AK126" s="279"/>
      <c r="AL126" s="279"/>
      <c r="AM126" s="279"/>
      <c r="AN126" s="279"/>
      <c r="AO126" s="279"/>
    </row>
    <row r="127" spans="28:41" hidden="1">
      <c r="AB127" s="279"/>
      <c r="AC127" s="279"/>
      <c r="AD127" s="279"/>
      <c r="AE127" s="279"/>
      <c r="AF127" s="279"/>
      <c r="AG127" s="279"/>
      <c r="AH127" s="279"/>
      <c r="AI127" s="279"/>
      <c r="AJ127" s="279"/>
      <c r="AK127" s="279"/>
      <c r="AL127" s="279"/>
      <c r="AM127" s="279"/>
      <c r="AN127" s="279"/>
      <c r="AO127" s="279"/>
    </row>
    <row r="128" spans="28:41" hidden="1">
      <c r="AB128" s="279"/>
      <c r="AC128" s="279"/>
      <c r="AD128" s="279"/>
      <c r="AE128" s="279"/>
      <c r="AF128" s="279"/>
      <c r="AG128" s="279"/>
      <c r="AH128" s="279"/>
      <c r="AI128" s="279"/>
      <c r="AJ128" s="279"/>
      <c r="AK128" s="279"/>
      <c r="AL128" s="279"/>
      <c r="AM128" s="279"/>
      <c r="AN128" s="279"/>
      <c r="AO128" s="279"/>
    </row>
    <row r="129" spans="28:41" hidden="1">
      <c r="AB129" s="279"/>
      <c r="AC129" s="279"/>
      <c r="AD129" s="279"/>
      <c r="AE129" s="279"/>
      <c r="AF129" s="279"/>
      <c r="AG129" s="279"/>
      <c r="AH129" s="279"/>
      <c r="AI129" s="279"/>
      <c r="AJ129" s="279"/>
      <c r="AK129" s="279"/>
      <c r="AL129" s="279"/>
      <c r="AM129" s="279"/>
      <c r="AN129" s="279"/>
      <c r="AO129" s="279"/>
    </row>
    <row r="130" spans="28:41" hidden="1">
      <c r="AB130" s="279"/>
      <c r="AC130" s="279"/>
      <c r="AD130" s="279"/>
      <c r="AE130" s="279"/>
      <c r="AF130" s="279"/>
      <c r="AG130" s="279"/>
      <c r="AH130" s="279"/>
      <c r="AI130" s="279"/>
      <c r="AJ130" s="279"/>
      <c r="AK130" s="279"/>
      <c r="AL130" s="279"/>
      <c r="AM130" s="279"/>
      <c r="AN130" s="279"/>
      <c r="AO130" s="279"/>
    </row>
    <row r="131" spans="28:41" hidden="1">
      <c r="AB131" s="279"/>
      <c r="AC131" s="279"/>
      <c r="AD131" s="279"/>
      <c r="AE131" s="279"/>
      <c r="AF131" s="279"/>
      <c r="AG131" s="279"/>
      <c r="AH131" s="279"/>
      <c r="AI131" s="279"/>
      <c r="AJ131" s="279"/>
      <c r="AK131" s="279"/>
      <c r="AL131" s="279"/>
      <c r="AM131" s="279"/>
      <c r="AN131" s="279"/>
      <c r="AO131" s="279"/>
    </row>
    <row r="132" spans="28:41" hidden="1">
      <c r="AB132" s="279"/>
      <c r="AC132" s="279"/>
      <c r="AD132" s="279"/>
      <c r="AE132" s="279"/>
      <c r="AF132" s="279"/>
      <c r="AG132" s="279"/>
      <c r="AH132" s="279"/>
      <c r="AI132" s="279"/>
      <c r="AJ132" s="279"/>
      <c r="AK132" s="279"/>
      <c r="AL132" s="279"/>
      <c r="AM132" s="279"/>
      <c r="AN132" s="279"/>
      <c r="AO132" s="279"/>
    </row>
    <row r="133" spans="28:41" hidden="1">
      <c r="AB133" s="279"/>
      <c r="AC133" s="279"/>
      <c r="AD133" s="279"/>
      <c r="AE133" s="279"/>
      <c r="AF133" s="279"/>
      <c r="AG133" s="279"/>
      <c r="AH133" s="279"/>
      <c r="AI133" s="279"/>
      <c r="AJ133" s="279"/>
      <c r="AK133" s="279"/>
      <c r="AL133" s="279"/>
      <c r="AM133" s="279"/>
      <c r="AN133" s="279"/>
      <c r="AO133" s="279"/>
    </row>
    <row r="134" spans="28:41" hidden="1">
      <c r="AB134" s="279"/>
      <c r="AC134" s="279"/>
      <c r="AD134" s="279"/>
      <c r="AE134" s="279"/>
      <c r="AF134" s="279"/>
      <c r="AG134" s="279"/>
      <c r="AH134" s="279"/>
      <c r="AI134" s="279"/>
      <c r="AJ134" s="279"/>
      <c r="AK134" s="279"/>
      <c r="AL134" s="279"/>
      <c r="AM134" s="279"/>
      <c r="AN134" s="279"/>
      <c r="AO134" s="279"/>
    </row>
    <row r="135" spans="28:41" hidden="1">
      <c r="AB135" s="279"/>
      <c r="AC135" s="279"/>
      <c r="AD135" s="279"/>
      <c r="AE135" s="279"/>
      <c r="AF135" s="279"/>
      <c r="AG135" s="279"/>
      <c r="AH135" s="279"/>
      <c r="AI135" s="279"/>
      <c r="AJ135" s="279"/>
      <c r="AK135" s="279"/>
      <c r="AL135" s="279"/>
      <c r="AM135" s="279"/>
      <c r="AN135" s="279"/>
      <c r="AO135" s="279"/>
    </row>
    <row r="136" spans="28:41" hidden="1">
      <c r="AB136" s="279"/>
      <c r="AC136" s="279"/>
      <c r="AD136" s="279"/>
      <c r="AE136" s="279"/>
      <c r="AF136" s="279"/>
      <c r="AG136" s="279"/>
      <c r="AH136" s="279"/>
      <c r="AI136" s="279"/>
      <c r="AJ136" s="279"/>
      <c r="AK136" s="279"/>
      <c r="AL136" s="279"/>
      <c r="AM136" s="279"/>
      <c r="AN136" s="279"/>
      <c r="AO136" s="279"/>
    </row>
    <row r="137" spans="28:41" hidden="1">
      <c r="AB137" s="279"/>
      <c r="AC137" s="279"/>
      <c r="AD137" s="279"/>
      <c r="AE137" s="279"/>
      <c r="AF137" s="279"/>
      <c r="AG137" s="279"/>
      <c r="AH137" s="279"/>
      <c r="AI137" s="279"/>
      <c r="AJ137" s="279"/>
      <c r="AK137" s="279"/>
      <c r="AL137" s="279"/>
      <c r="AM137" s="279"/>
      <c r="AN137" s="279"/>
      <c r="AO137" s="279"/>
    </row>
    <row r="138" spans="28:41" hidden="1">
      <c r="AB138" s="279"/>
      <c r="AC138" s="279"/>
      <c r="AD138" s="279"/>
      <c r="AE138" s="279"/>
      <c r="AF138" s="279"/>
      <c r="AG138" s="279"/>
      <c r="AH138" s="279"/>
      <c r="AI138" s="279"/>
      <c r="AJ138" s="279"/>
      <c r="AK138" s="279"/>
      <c r="AL138" s="279"/>
      <c r="AM138" s="279"/>
      <c r="AN138" s="279"/>
      <c r="AO138" s="279"/>
    </row>
    <row r="139" spans="28:41" hidden="1">
      <c r="AB139" s="279"/>
      <c r="AC139" s="279"/>
      <c r="AD139" s="279"/>
      <c r="AE139" s="279"/>
      <c r="AF139" s="279"/>
      <c r="AG139" s="279"/>
      <c r="AH139" s="279"/>
      <c r="AI139" s="279"/>
      <c r="AJ139" s="279"/>
      <c r="AK139" s="279"/>
      <c r="AL139" s="279"/>
      <c r="AM139" s="279"/>
      <c r="AN139" s="279"/>
      <c r="AO139" s="279"/>
    </row>
    <row r="140" spans="28:41" hidden="1">
      <c r="AB140" s="279"/>
      <c r="AC140" s="279"/>
      <c r="AD140" s="279"/>
      <c r="AE140" s="279"/>
      <c r="AF140" s="279"/>
      <c r="AG140" s="279"/>
      <c r="AH140" s="279"/>
      <c r="AI140" s="279"/>
      <c r="AJ140" s="279"/>
      <c r="AK140" s="279"/>
      <c r="AL140" s="279"/>
      <c r="AM140" s="279"/>
      <c r="AN140" s="279"/>
      <c r="AO140" s="279"/>
    </row>
    <row r="141" spans="28:41" hidden="1">
      <c r="AB141" s="279"/>
      <c r="AC141" s="279"/>
      <c r="AD141" s="279"/>
      <c r="AE141" s="279"/>
      <c r="AF141" s="279"/>
      <c r="AG141" s="279"/>
      <c r="AH141" s="279"/>
      <c r="AI141" s="279"/>
      <c r="AJ141" s="279"/>
      <c r="AK141" s="279"/>
      <c r="AL141" s="279"/>
      <c r="AM141" s="279"/>
      <c r="AN141" s="279"/>
      <c r="AO141" s="279"/>
    </row>
    <row r="142" spans="28:41" hidden="1">
      <c r="AB142" s="279"/>
      <c r="AC142" s="279"/>
      <c r="AD142" s="279"/>
      <c r="AE142" s="279"/>
      <c r="AF142" s="279"/>
      <c r="AG142" s="279"/>
      <c r="AH142" s="279"/>
      <c r="AI142" s="279"/>
      <c r="AJ142" s="279"/>
      <c r="AK142" s="279"/>
      <c r="AL142" s="279"/>
      <c r="AM142" s="279"/>
      <c r="AN142" s="279"/>
      <c r="AO142" s="279"/>
    </row>
    <row r="143" spans="28:41" hidden="1">
      <c r="AB143" s="279"/>
      <c r="AC143" s="279"/>
      <c r="AD143" s="279"/>
      <c r="AE143" s="279"/>
      <c r="AF143" s="279"/>
      <c r="AG143" s="279"/>
      <c r="AH143" s="279"/>
      <c r="AI143" s="279"/>
      <c r="AJ143" s="279"/>
      <c r="AK143" s="279"/>
      <c r="AL143" s="279"/>
      <c r="AM143" s="279"/>
      <c r="AN143" s="279"/>
      <c r="AO143" s="279"/>
    </row>
    <row r="144" spans="28:41" hidden="1">
      <c r="AB144" s="279"/>
      <c r="AC144" s="279"/>
      <c r="AD144" s="279"/>
      <c r="AE144" s="279"/>
      <c r="AF144" s="279"/>
      <c r="AG144" s="279"/>
      <c r="AH144" s="279"/>
      <c r="AI144" s="279"/>
      <c r="AJ144" s="279"/>
      <c r="AK144" s="279"/>
      <c r="AL144" s="279"/>
      <c r="AM144" s="279"/>
      <c r="AN144" s="279"/>
      <c r="AO144" s="279"/>
    </row>
    <row r="145" spans="28:41" hidden="1">
      <c r="AB145" s="279"/>
      <c r="AC145" s="279"/>
      <c r="AD145" s="279"/>
      <c r="AE145" s="279"/>
      <c r="AF145" s="279"/>
      <c r="AG145" s="279"/>
      <c r="AH145" s="279"/>
      <c r="AI145" s="279"/>
      <c r="AJ145" s="279"/>
      <c r="AK145" s="279"/>
      <c r="AL145" s="279"/>
      <c r="AM145" s="279"/>
      <c r="AN145" s="279"/>
      <c r="AO145" s="279"/>
    </row>
    <row r="146" spans="28:41" hidden="1">
      <c r="AB146" s="279"/>
      <c r="AC146" s="279"/>
      <c r="AD146" s="279"/>
      <c r="AE146" s="279"/>
      <c r="AF146" s="279"/>
      <c r="AG146" s="279"/>
      <c r="AH146" s="279"/>
      <c r="AI146" s="279"/>
      <c r="AJ146" s="279"/>
      <c r="AK146" s="279"/>
      <c r="AL146" s="279"/>
      <c r="AM146" s="279"/>
      <c r="AN146" s="279"/>
      <c r="AO146" s="279"/>
    </row>
    <row r="147" spans="28:41" hidden="1">
      <c r="AB147" s="279"/>
      <c r="AC147" s="279"/>
      <c r="AD147" s="279"/>
      <c r="AE147" s="279"/>
      <c r="AF147" s="279"/>
      <c r="AG147" s="279"/>
      <c r="AH147" s="279"/>
      <c r="AI147" s="279"/>
      <c r="AJ147" s="279"/>
      <c r="AK147" s="279"/>
      <c r="AL147" s="279"/>
      <c r="AM147" s="279"/>
      <c r="AN147" s="279"/>
      <c r="AO147" s="279"/>
    </row>
    <row r="148" spans="28:41" hidden="1">
      <c r="AB148" s="279"/>
      <c r="AC148" s="279"/>
      <c r="AD148" s="279"/>
      <c r="AE148" s="279"/>
      <c r="AF148" s="279"/>
      <c r="AG148" s="279"/>
      <c r="AH148" s="279"/>
      <c r="AI148" s="279"/>
      <c r="AJ148" s="279"/>
      <c r="AK148" s="279"/>
      <c r="AL148" s="279"/>
      <c r="AM148" s="279"/>
      <c r="AN148" s="279"/>
      <c r="AO148" s="279"/>
    </row>
    <row r="149" spans="28:41" hidden="1">
      <c r="AB149" s="279"/>
      <c r="AC149" s="279"/>
      <c r="AD149" s="279"/>
      <c r="AE149" s="279"/>
      <c r="AF149" s="279"/>
      <c r="AG149" s="279"/>
      <c r="AH149" s="279"/>
      <c r="AI149" s="279"/>
      <c r="AJ149" s="279"/>
      <c r="AK149" s="279"/>
      <c r="AL149" s="279"/>
      <c r="AM149" s="279"/>
      <c r="AN149" s="279"/>
      <c r="AO149" s="279"/>
    </row>
    <row r="150" spans="28:41" hidden="1">
      <c r="AB150" s="279"/>
      <c r="AC150" s="279"/>
      <c r="AD150" s="279"/>
      <c r="AE150" s="279"/>
      <c r="AF150" s="279"/>
      <c r="AG150" s="279"/>
      <c r="AH150" s="279"/>
      <c r="AI150" s="279"/>
      <c r="AJ150" s="279"/>
      <c r="AK150" s="279"/>
      <c r="AL150" s="279"/>
      <c r="AM150" s="279"/>
      <c r="AN150" s="279"/>
      <c r="AO150" s="279"/>
    </row>
    <row r="151" spans="28:41" hidden="1">
      <c r="AB151" s="279"/>
      <c r="AC151" s="279"/>
      <c r="AD151" s="279"/>
      <c r="AE151" s="279"/>
      <c r="AF151" s="279"/>
      <c r="AG151" s="279"/>
      <c r="AH151" s="279"/>
      <c r="AI151" s="279"/>
      <c r="AJ151" s="279"/>
      <c r="AK151" s="279"/>
      <c r="AL151" s="279"/>
      <c r="AM151" s="279"/>
      <c r="AN151" s="279"/>
      <c r="AO151" s="279"/>
    </row>
    <row r="152" spans="28:41" hidden="1">
      <c r="AB152" s="279"/>
      <c r="AC152" s="279"/>
      <c r="AD152" s="279"/>
      <c r="AE152" s="279"/>
      <c r="AF152" s="279"/>
      <c r="AG152" s="279"/>
      <c r="AH152" s="279"/>
      <c r="AI152" s="279"/>
      <c r="AJ152" s="279"/>
      <c r="AK152" s="279"/>
      <c r="AL152" s="279"/>
      <c r="AM152" s="279"/>
      <c r="AN152" s="279"/>
      <c r="AO152" s="279"/>
    </row>
    <row r="153" spans="28:41" hidden="1">
      <c r="AB153" s="279"/>
      <c r="AC153" s="279"/>
      <c r="AD153" s="279"/>
      <c r="AE153" s="279"/>
      <c r="AF153" s="279"/>
      <c r="AG153" s="279"/>
      <c r="AH153" s="279"/>
      <c r="AI153" s="279"/>
      <c r="AJ153" s="279"/>
      <c r="AK153" s="279"/>
      <c r="AL153" s="279"/>
      <c r="AM153" s="279"/>
      <c r="AN153" s="279"/>
      <c r="AO153" s="279"/>
    </row>
    <row r="154" spans="28:41" hidden="1">
      <c r="AB154" s="279"/>
      <c r="AC154" s="279"/>
      <c r="AD154" s="279"/>
      <c r="AE154" s="279"/>
      <c r="AF154" s="279"/>
      <c r="AG154" s="279"/>
      <c r="AH154" s="279"/>
      <c r="AI154" s="279"/>
      <c r="AJ154" s="279"/>
      <c r="AK154" s="279"/>
      <c r="AL154" s="279"/>
      <c r="AM154" s="279"/>
      <c r="AN154" s="279"/>
      <c r="AO154" s="279"/>
    </row>
    <row r="155" spans="28:41" hidden="1">
      <c r="AB155" s="279"/>
      <c r="AC155" s="279"/>
      <c r="AD155" s="279"/>
      <c r="AE155" s="279"/>
      <c r="AF155" s="279"/>
      <c r="AG155" s="279"/>
      <c r="AH155" s="279"/>
      <c r="AI155" s="279"/>
      <c r="AJ155" s="279"/>
      <c r="AK155" s="279"/>
      <c r="AL155" s="279"/>
      <c r="AM155" s="279"/>
      <c r="AN155" s="279"/>
      <c r="AO155" s="279"/>
    </row>
    <row r="156" spans="28:41" hidden="1">
      <c r="AB156" s="279"/>
      <c r="AC156" s="279"/>
      <c r="AD156" s="279"/>
      <c r="AE156" s="279"/>
      <c r="AF156" s="279"/>
      <c r="AG156" s="279"/>
      <c r="AH156" s="279"/>
      <c r="AI156" s="279"/>
      <c r="AJ156" s="279"/>
      <c r="AK156" s="279"/>
      <c r="AL156" s="279"/>
      <c r="AM156" s="279"/>
      <c r="AN156" s="279"/>
      <c r="AO156" s="279"/>
    </row>
    <row r="157" spans="28:41" hidden="1">
      <c r="AB157" s="279"/>
      <c r="AC157" s="279"/>
      <c r="AD157" s="279"/>
      <c r="AE157" s="279"/>
      <c r="AF157" s="279"/>
      <c r="AG157" s="279"/>
      <c r="AH157" s="279"/>
      <c r="AI157" s="279"/>
      <c r="AJ157" s="279"/>
      <c r="AK157" s="279"/>
      <c r="AL157" s="279"/>
      <c r="AM157" s="279"/>
      <c r="AN157" s="279"/>
      <c r="AO157" s="279"/>
    </row>
    <row r="158" spans="28:41" hidden="1">
      <c r="AB158" s="279"/>
      <c r="AC158" s="279"/>
      <c r="AD158" s="279"/>
      <c r="AE158" s="279"/>
      <c r="AF158" s="279"/>
      <c r="AG158" s="279"/>
      <c r="AH158" s="279"/>
      <c r="AI158" s="279"/>
      <c r="AJ158" s="279"/>
      <c r="AK158" s="279"/>
      <c r="AL158" s="279"/>
      <c r="AM158" s="279"/>
      <c r="AN158" s="279"/>
      <c r="AO158" s="279"/>
    </row>
    <row r="159" spans="28:41" hidden="1">
      <c r="AB159" s="279"/>
      <c r="AC159" s="279"/>
      <c r="AD159" s="279"/>
      <c r="AE159" s="279"/>
      <c r="AF159" s="279"/>
      <c r="AG159" s="279"/>
      <c r="AH159" s="279"/>
      <c r="AI159" s="279"/>
      <c r="AJ159" s="279"/>
      <c r="AK159" s="279"/>
      <c r="AL159" s="279"/>
      <c r="AM159" s="279"/>
      <c r="AN159" s="279"/>
      <c r="AO159" s="279"/>
    </row>
    <row r="160" spans="28:41" hidden="1">
      <c r="AB160" s="279"/>
      <c r="AC160" s="279"/>
      <c r="AD160" s="279"/>
      <c r="AE160" s="279"/>
      <c r="AF160" s="279"/>
      <c r="AG160" s="279"/>
      <c r="AH160" s="279"/>
      <c r="AI160" s="279"/>
      <c r="AJ160" s="279"/>
      <c r="AK160" s="279"/>
      <c r="AL160" s="279"/>
      <c r="AM160" s="279"/>
      <c r="AN160" s="279"/>
      <c r="AO160" s="279"/>
    </row>
    <row r="161" spans="1:50" s="283" customFormat="1" ht="18.75" hidden="1">
      <c r="A161" s="280"/>
      <c r="B161" s="281"/>
      <c r="C161" s="281"/>
      <c r="D161" s="281"/>
      <c r="E161" s="281"/>
      <c r="F161" s="281"/>
      <c r="G161" s="281"/>
      <c r="H161" s="281"/>
      <c r="I161" s="281"/>
      <c r="J161" s="281"/>
      <c r="K161" s="281"/>
      <c r="L161" s="281"/>
      <c r="M161" s="281"/>
      <c r="N161" s="281"/>
      <c r="O161" s="281"/>
      <c r="P161" s="281"/>
      <c r="Q161" s="281"/>
      <c r="R161" s="281"/>
      <c r="S161" s="281"/>
      <c r="T161" s="281"/>
      <c r="U161" s="281"/>
      <c r="V161" s="281"/>
      <c r="W161" s="281"/>
      <c r="X161" s="281"/>
      <c r="Y161" s="281"/>
      <c r="Z161" s="281"/>
      <c r="AA161" s="281"/>
      <c r="AB161" s="281"/>
      <c r="AC161" s="281"/>
      <c r="AD161" s="281"/>
      <c r="AE161" s="281"/>
      <c r="AF161" s="281"/>
      <c r="AG161" s="281"/>
      <c r="AH161" s="281"/>
      <c r="AI161" s="281"/>
      <c r="AJ161" s="281"/>
      <c r="AK161" s="281"/>
      <c r="AL161" s="281"/>
      <c r="AM161" s="281"/>
      <c r="AN161" s="281"/>
      <c r="AO161" s="281"/>
      <c r="AP161" s="282"/>
      <c r="AQ161" s="282"/>
      <c r="AR161" s="282"/>
      <c r="AS161" s="282"/>
      <c r="AT161" s="282"/>
      <c r="AU161" s="282"/>
      <c r="AV161" s="282"/>
      <c r="AW161" s="282"/>
      <c r="AX161" s="282"/>
    </row>
    <row r="162" spans="1:50" s="283" customFormat="1" ht="18.75" hidden="1">
      <c r="A162" s="280"/>
      <c r="B162" s="281"/>
      <c r="C162" s="281"/>
      <c r="D162" s="281"/>
      <c r="E162" s="281"/>
      <c r="F162" s="281"/>
      <c r="G162" s="281"/>
      <c r="H162" s="281"/>
      <c r="I162" s="281"/>
      <c r="J162" s="281"/>
      <c r="K162" s="281"/>
      <c r="L162" s="281"/>
      <c r="M162" s="281"/>
      <c r="N162" s="281"/>
      <c r="O162" s="281"/>
      <c r="P162" s="281"/>
      <c r="Q162" s="281"/>
      <c r="R162" s="281"/>
      <c r="S162" s="281"/>
      <c r="T162" s="281"/>
      <c r="U162" s="281"/>
      <c r="V162" s="281"/>
      <c r="W162" s="281"/>
      <c r="X162" s="281"/>
      <c r="Y162" s="281"/>
      <c r="Z162" s="281"/>
      <c r="AA162" s="281"/>
      <c r="AB162" s="281"/>
      <c r="AC162" s="281"/>
      <c r="AD162" s="281"/>
      <c r="AE162" s="281"/>
      <c r="AF162" s="281"/>
      <c r="AG162" s="281"/>
      <c r="AH162" s="281"/>
      <c r="AI162" s="281"/>
      <c r="AJ162" s="281"/>
      <c r="AK162" s="281"/>
      <c r="AL162" s="281"/>
      <c r="AM162" s="281"/>
      <c r="AN162" s="282"/>
      <c r="AO162" s="282"/>
      <c r="AP162" s="282"/>
      <c r="AQ162" s="282"/>
      <c r="AR162" s="282"/>
      <c r="AS162" s="282"/>
      <c r="AT162" s="282"/>
      <c r="AU162" s="282"/>
      <c r="AV162" s="282"/>
      <c r="AW162" s="282"/>
      <c r="AX162" s="282"/>
    </row>
    <row r="163" spans="1:50" s="283" customFormat="1" ht="18.75" hidden="1">
      <c r="A163" s="280"/>
      <c r="B163" s="281"/>
      <c r="C163" s="281"/>
      <c r="D163" s="281"/>
      <c r="E163" s="281"/>
      <c r="F163" s="281"/>
      <c r="G163" s="281"/>
      <c r="H163" s="281"/>
      <c r="I163" s="281"/>
      <c r="J163" s="281"/>
      <c r="K163" s="281"/>
      <c r="L163" s="281"/>
      <c r="M163" s="281"/>
      <c r="N163" s="281"/>
      <c r="O163" s="281"/>
      <c r="P163" s="281"/>
      <c r="Q163" s="281"/>
      <c r="R163" s="281"/>
      <c r="S163" s="281"/>
      <c r="T163" s="281"/>
      <c r="U163" s="281"/>
      <c r="V163" s="281"/>
      <c r="W163" s="281"/>
      <c r="X163" s="281"/>
      <c r="Y163" s="281"/>
      <c r="Z163" s="281"/>
      <c r="AA163" s="281"/>
      <c r="AB163" s="281"/>
      <c r="AC163" s="281"/>
      <c r="AD163" s="281"/>
      <c r="AE163" s="281"/>
      <c r="AF163" s="281"/>
      <c r="AG163" s="281"/>
      <c r="AH163" s="281"/>
      <c r="AI163" s="281"/>
      <c r="AJ163" s="281"/>
      <c r="AK163" s="281"/>
      <c r="AL163" s="281"/>
      <c r="AM163" s="281"/>
      <c r="AN163" s="282"/>
      <c r="AO163" s="282"/>
      <c r="AP163" s="282"/>
      <c r="AQ163" s="282"/>
      <c r="AR163" s="282"/>
      <c r="AS163" s="282"/>
      <c r="AT163" s="282"/>
      <c r="AU163" s="282"/>
      <c r="AV163" s="282"/>
      <c r="AW163" s="282"/>
      <c r="AX163" s="282"/>
    </row>
    <row r="164" spans="1:50" hidden="1"/>
    <row r="165" spans="1:50" hidden="1"/>
    <row r="166" spans="1:50" hidden="1"/>
    <row r="167" spans="1:50" hidden="1"/>
    <row r="168" spans="1:50" hidden="1"/>
    <row r="169" spans="1:50" hidden="1"/>
    <row r="170" spans="1:50" hidden="1"/>
    <row r="171" spans="1:50" hidden="1"/>
    <row r="172" spans="1:50" hidden="1"/>
    <row r="173" spans="1:50" hidden="1"/>
    <row r="174" spans="1:50" hidden="1"/>
    <row r="175" spans="1:50" hidden="1"/>
    <row r="176" spans="1:50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</sheetData>
  <sheetProtection password="CCFF" sheet="1" objects="1" scenarios="1" formatCells="0" formatColumns="0" formatRows="0"/>
  <mergeCells count="190">
    <mergeCell ref="AI47:AM47"/>
    <mergeCell ref="AC47:AG47"/>
    <mergeCell ref="AC48:AG48"/>
    <mergeCell ref="D59:O59"/>
    <mergeCell ref="D58:O58"/>
    <mergeCell ref="P58:T58"/>
    <mergeCell ref="D56:O56"/>
    <mergeCell ref="D57:O57"/>
    <mergeCell ref="P57:T57"/>
    <mergeCell ref="V57:Z57"/>
    <mergeCell ref="V58:Z58"/>
    <mergeCell ref="V59:Z59"/>
    <mergeCell ref="D55:O55"/>
    <mergeCell ref="P55:T55"/>
    <mergeCell ref="AI54:AM54"/>
    <mergeCell ref="AI48:AM48"/>
    <mergeCell ref="AC52:AG52"/>
    <mergeCell ref="AC51:AG51"/>
    <mergeCell ref="AI49:AM49"/>
    <mergeCell ref="AC54:AG54"/>
    <mergeCell ref="W50:AA50"/>
    <mergeCell ref="AI50:AM50"/>
    <mergeCell ref="D33:J33"/>
    <mergeCell ref="D29:J32"/>
    <mergeCell ref="W51:AA51"/>
    <mergeCell ref="N15:R16"/>
    <mergeCell ref="K33:S33"/>
    <mergeCell ref="K29:S32"/>
    <mergeCell ref="U19:AC21"/>
    <mergeCell ref="E15:J16"/>
    <mergeCell ref="W46:AA46"/>
    <mergeCell ref="D37:J37"/>
    <mergeCell ref="K36:S36"/>
    <mergeCell ref="U36:AC36"/>
    <mergeCell ref="D36:J36"/>
    <mergeCell ref="AC43:AG43"/>
    <mergeCell ref="K37:S37"/>
    <mergeCell ref="C41:AM41"/>
    <mergeCell ref="C39:AM39"/>
    <mergeCell ref="U37:AC37"/>
    <mergeCell ref="AC45:AG45"/>
    <mergeCell ref="W45:AA45"/>
    <mergeCell ref="AI43:AM43"/>
    <mergeCell ref="AE36:AM36"/>
    <mergeCell ref="AI45:AM45"/>
    <mergeCell ref="AI46:AM46"/>
    <mergeCell ref="AE35:AM35"/>
    <mergeCell ref="AJ24:AN24"/>
    <mergeCell ref="AJ25:AN25"/>
    <mergeCell ref="U34:AC34"/>
    <mergeCell ref="U33:AC33"/>
    <mergeCell ref="AE26:AI26"/>
    <mergeCell ref="AE34:AM34"/>
    <mergeCell ref="AE19:AN21"/>
    <mergeCell ref="D19:S20"/>
    <mergeCell ref="D35:J35"/>
    <mergeCell ref="K35:S35"/>
    <mergeCell ref="D34:J34"/>
    <mergeCell ref="K34:S34"/>
    <mergeCell ref="D24:S24"/>
    <mergeCell ref="AE25:AI25"/>
    <mergeCell ref="Q25:S25"/>
    <mergeCell ref="F25:M25"/>
    <mergeCell ref="D23:S23"/>
    <mergeCell ref="V23:X24"/>
    <mergeCell ref="Y23:AB24"/>
    <mergeCell ref="AJ23:AN23"/>
    <mergeCell ref="AE24:AI24"/>
    <mergeCell ref="AE23:AI23"/>
    <mergeCell ref="AJ22:AN22"/>
    <mergeCell ref="AE22:AI22"/>
    <mergeCell ref="G22:S22"/>
    <mergeCell ref="V14:AM14"/>
    <mergeCell ref="AJ15:AJ16"/>
    <mergeCell ref="Y15:AI16"/>
    <mergeCell ref="P2:AO2"/>
    <mergeCell ref="V13:AM13"/>
    <mergeCell ref="V12:AM12"/>
    <mergeCell ref="L14:T14"/>
    <mergeCell ref="A2:O2"/>
    <mergeCell ref="C13:T13"/>
    <mergeCell ref="C14:K14"/>
    <mergeCell ref="V11:AM11"/>
    <mergeCell ref="C11:T11"/>
    <mergeCell ref="C12:T12"/>
    <mergeCell ref="AJ26:AN26"/>
    <mergeCell ref="V56:Z56"/>
    <mergeCell ref="AI55:AM55"/>
    <mergeCell ref="AC55:AG55"/>
    <mergeCell ref="AI52:AM52"/>
    <mergeCell ref="AI51:AM51"/>
    <mergeCell ref="W54:AA54"/>
    <mergeCell ref="U35:AC35"/>
    <mergeCell ref="U29:AC32"/>
    <mergeCell ref="V55:Z55"/>
    <mergeCell ref="W47:AA47"/>
    <mergeCell ref="AC50:AG50"/>
    <mergeCell ref="AE33:AM33"/>
    <mergeCell ref="W52:AA52"/>
    <mergeCell ref="AE29:AL32"/>
    <mergeCell ref="AI44:AM44"/>
    <mergeCell ref="AE37:AM37"/>
    <mergeCell ref="W49:AA49"/>
    <mergeCell ref="AC49:AG49"/>
    <mergeCell ref="W48:AA48"/>
    <mergeCell ref="AC46:AG46"/>
    <mergeCell ref="W43:AA43"/>
    <mergeCell ref="W44:AA44"/>
    <mergeCell ref="AC44:AG44"/>
    <mergeCell ref="E72:T72"/>
    <mergeCell ref="W72:AA72"/>
    <mergeCell ref="E73:T73"/>
    <mergeCell ref="AC69:AG69"/>
    <mergeCell ref="AI56:AM56"/>
    <mergeCell ref="AC56:AG56"/>
    <mergeCell ref="AI57:AM57"/>
    <mergeCell ref="AC59:AG59"/>
    <mergeCell ref="AC57:AG57"/>
    <mergeCell ref="AI59:AM59"/>
    <mergeCell ref="AI58:AM58"/>
    <mergeCell ref="AI64:AM64"/>
    <mergeCell ref="AC58:AG58"/>
    <mergeCell ref="P59:T59"/>
    <mergeCell ref="P56:T56"/>
    <mergeCell ref="D60:O60"/>
    <mergeCell ref="D61:O61"/>
    <mergeCell ref="V60:Z60"/>
    <mergeCell ref="V61:Z61"/>
    <mergeCell ref="P60:T60"/>
    <mergeCell ref="P61:T61"/>
    <mergeCell ref="W64:AA64"/>
    <mergeCell ref="D62:O62"/>
    <mergeCell ref="P62:T62"/>
    <mergeCell ref="E75:T75"/>
    <mergeCell ref="E74:T74"/>
    <mergeCell ref="W76:AA76"/>
    <mergeCell ref="W74:AA74"/>
    <mergeCell ref="W73:AA73"/>
    <mergeCell ref="W75:AA75"/>
    <mergeCell ref="AI62:AM62"/>
    <mergeCell ref="AI66:AM66"/>
    <mergeCell ref="AC64:AG64"/>
    <mergeCell ref="AC62:AG62"/>
    <mergeCell ref="AC66:AG66"/>
    <mergeCell ref="W66:AA66"/>
    <mergeCell ref="V62:Z62"/>
    <mergeCell ref="AC73:AG73"/>
    <mergeCell ref="AC74:AG74"/>
    <mergeCell ref="AI74:AM74"/>
    <mergeCell ref="AI75:AM75"/>
    <mergeCell ref="AI76:AM76"/>
    <mergeCell ref="AC75:AG75"/>
    <mergeCell ref="AC76:AG76"/>
    <mergeCell ref="AI73:AM73"/>
    <mergeCell ref="AI72:AM72"/>
    <mergeCell ref="AI71:AM71"/>
    <mergeCell ref="AI69:AM69"/>
    <mergeCell ref="W69:AA69"/>
    <mergeCell ref="W71:AA71"/>
    <mergeCell ref="AC85:AG85"/>
    <mergeCell ref="AC84:AG84"/>
    <mergeCell ref="AI101:AM101"/>
    <mergeCell ref="AC89:AG89"/>
    <mergeCell ref="AC101:AG101"/>
    <mergeCell ref="AC90:AG90"/>
    <mergeCell ref="AI90:AM90"/>
    <mergeCell ref="AC92:AG92"/>
    <mergeCell ref="AI79:AM79"/>
    <mergeCell ref="AI78:AM78"/>
    <mergeCell ref="AC79:AG79"/>
    <mergeCell ref="AC78:AG78"/>
    <mergeCell ref="AC86:AG86"/>
    <mergeCell ref="W78:AA78"/>
    <mergeCell ref="W79:AA79"/>
    <mergeCell ref="W82:AA82"/>
    <mergeCell ref="AC83:AG83"/>
    <mergeCell ref="AC80:AG80"/>
    <mergeCell ref="AC71:AG71"/>
    <mergeCell ref="AC72:AG72"/>
    <mergeCell ref="AI82:AM82"/>
    <mergeCell ref="AI81:AM81"/>
    <mergeCell ref="AI80:AM80"/>
    <mergeCell ref="W80:AA80"/>
    <mergeCell ref="AC81:AG81"/>
    <mergeCell ref="AC82:AG82"/>
    <mergeCell ref="W81:AA81"/>
    <mergeCell ref="W92:AA92"/>
    <mergeCell ref="W90:AA90"/>
    <mergeCell ref="W88:AA88"/>
    <mergeCell ref="W87:AA87"/>
  </mergeCells>
  <phoneticPr fontId="20" type="noConversion"/>
  <dataValidations disablePrompts="1" count="3">
    <dataValidation allowBlank="1" showInputMessage="1" showErrorMessage="1" promptTitle="Input Acknowledgement No" prompt="ત્રણ મહિનાનો 24Q ફાઇલ કરે તેનો Acknowledgement નંબર" sqref="K33:S37"/>
    <dataValidation allowBlank="1" showInputMessage="1" showErrorMessage="1" promptTitle="Input Amounts" prompt="ત્રણ મહિનાનો દરમ્યાન કર્મચારી / અધિકારીને કેટલો ટેક્ષ લાગે તેની રકમ " sqref="U33:AC37"/>
    <dataValidation allowBlank="1" showInputMessage="1" showErrorMessage="1" promptTitle="Input Message" prompt="કર્મચારી / અધિકારીશ્રીને લાગેલ ટેક્ષ પૈકી ભરેલ ( કપાત ) રકમ" sqref="AE33:AM37"/>
  </dataValidations>
  <hyperlinks>
    <hyperlink ref="A2:C2" location="MainMenu!A1" display="MainMenu!A1"/>
  </hyperlinks>
  <printOptions horizontalCentered="1"/>
  <pageMargins left="0" right="0" top="0.51181102362204722" bottom="0.51181102362204722" header="0.23622047244094491" footer="0.39370078740157483"/>
  <pageSetup paperSize="9" scale="77" orientation="portrait" horizontalDpi="1200" verticalDpi="1200" r:id="rId1"/>
  <headerFooter alignWithMargins="0">
    <oddHeader>&amp;L&amp;"Bookman Old Style,Bold"mrkiritpatel@gmail.com / imu20593@gmail.com / dpbaria@gmail.com / chenspatil@gmail.com</oddHeader>
    <oddFooter>Page 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>
    <tabColor indexed="10"/>
    <pageSetUpPr fitToPage="1"/>
  </sheetPr>
  <dimension ref="A1:AY476"/>
  <sheetViews>
    <sheetView showGridLines="0" showRowColHeaders="0" topLeftCell="A2" workbookViewId="0">
      <pane ySplit="2" topLeftCell="A52" activePane="bottomLeft" state="frozen"/>
      <selection activeCell="D19" sqref="D19:S20"/>
      <selection pane="bottomLeft" activeCell="A2" sqref="A2:R2"/>
    </sheetView>
  </sheetViews>
  <sheetFormatPr defaultColWidth="0" defaultRowHeight="15" zeroHeight="1"/>
  <cols>
    <col min="1" max="1" width="1.375" style="286" customWidth="1"/>
    <col min="2" max="2" width="3.25" style="286" customWidth="1"/>
    <col min="3" max="3" width="3.375" style="286" customWidth="1"/>
    <col min="4" max="39" width="2.625" style="286" customWidth="1"/>
    <col min="40" max="40" width="4.875" style="290" customWidth="1"/>
    <col min="41" max="41" width="4.875" style="462" hidden="1" customWidth="1"/>
    <col min="42" max="44" width="2.625" style="462" hidden="1" customWidth="1"/>
    <col min="45" max="45" width="2.875" style="462" hidden="1" customWidth="1"/>
    <col min="46" max="48" width="4.5" style="462" hidden="1" customWidth="1"/>
    <col min="49" max="16384" width="4.5" style="266" hidden="1"/>
  </cols>
  <sheetData>
    <row r="1" spans="1:49">
      <c r="A1" s="273">
        <v>1</v>
      </c>
      <c r="B1" s="273">
        <v>2</v>
      </c>
      <c r="C1" s="273">
        <v>3</v>
      </c>
      <c r="D1" s="273">
        <v>4</v>
      </c>
      <c r="E1" s="273">
        <v>5</v>
      </c>
      <c r="F1" s="273">
        <v>6</v>
      </c>
      <c r="G1" s="273">
        <v>7</v>
      </c>
      <c r="H1" s="273">
        <v>8</v>
      </c>
      <c r="I1" s="273">
        <v>9</v>
      </c>
      <c r="J1" s="273">
        <v>10</v>
      </c>
      <c r="K1" s="273">
        <v>11</v>
      </c>
      <c r="L1" s="273">
        <v>12</v>
      </c>
      <c r="M1" s="273">
        <v>13</v>
      </c>
      <c r="N1" s="273">
        <v>14</v>
      </c>
      <c r="O1" s="273">
        <v>15</v>
      </c>
      <c r="P1" s="273">
        <v>16</v>
      </c>
      <c r="Q1" s="273">
        <v>17</v>
      </c>
      <c r="R1" s="273">
        <v>18</v>
      </c>
      <c r="S1" s="273">
        <v>19</v>
      </c>
      <c r="T1" s="273">
        <v>20</v>
      </c>
      <c r="U1" s="273">
        <v>21</v>
      </c>
      <c r="V1" s="273">
        <v>22</v>
      </c>
      <c r="W1" s="273"/>
      <c r="X1" s="273">
        <v>23</v>
      </c>
      <c r="Y1" s="273">
        <v>24</v>
      </c>
      <c r="Z1" s="273">
        <v>25</v>
      </c>
      <c r="AA1" s="273">
        <v>26</v>
      </c>
      <c r="AB1" s="273">
        <v>27</v>
      </c>
      <c r="AC1" s="273">
        <v>28</v>
      </c>
      <c r="AD1" s="273"/>
      <c r="AE1" s="273">
        <v>29</v>
      </c>
      <c r="AF1" s="273">
        <v>30</v>
      </c>
      <c r="AG1" s="273">
        <v>31</v>
      </c>
      <c r="AH1" s="273">
        <v>32</v>
      </c>
      <c r="AI1" s="273">
        <v>33</v>
      </c>
      <c r="AJ1" s="273">
        <v>34</v>
      </c>
      <c r="AK1" s="273"/>
      <c r="AL1" s="273">
        <v>35</v>
      </c>
      <c r="AM1" s="273">
        <v>36</v>
      </c>
      <c r="AN1" s="273">
        <v>37</v>
      </c>
      <c r="AO1" s="440">
        <v>38</v>
      </c>
      <c r="AP1" s="440">
        <v>39</v>
      </c>
      <c r="AQ1" s="440">
        <v>40</v>
      </c>
      <c r="AR1" s="440">
        <v>41</v>
      </c>
      <c r="AS1" s="440">
        <v>42</v>
      </c>
      <c r="AT1" s="440"/>
      <c r="AU1" s="440"/>
      <c r="AV1" s="440"/>
    </row>
    <row r="2" spans="1:49" s="287" customFormat="1" ht="24" customHeight="1">
      <c r="A2" s="1925" t="s">
        <v>90</v>
      </c>
      <c r="B2" s="1925"/>
      <c r="C2" s="1925"/>
      <c r="D2" s="1925"/>
      <c r="E2" s="1925"/>
      <c r="F2" s="1925"/>
      <c r="G2" s="1925"/>
      <c r="H2" s="1925"/>
      <c r="I2" s="1925"/>
      <c r="J2" s="1925"/>
      <c r="K2" s="1925"/>
      <c r="L2" s="1925"/>
      <c r="M2" s="1925"/>
      <c r="N2" s="1925"/>
      <c r="O2" s="1925"/>
      <c r="P2" s="1925"/>
      <c r="Q2" s="1925"/>
      <c r="R2" s="1925"/>
      <c r="S2" s="366" t="s">
        <v>292</v>
      </c>
      <c r="T2" s="366"/>
      <c r="U2" s="366"/>
      <c r="V2" s="366"/>
      <c r="W2" s="366"/>
      <c r="X2" s="366"/>
      <c r="Y2" s="366"/>
      <c r="Z2" s="366"/>
      <c r="AA2" s="366"/>
      <c r="AB2" s="366"/>
      <c r="AC2" s="366"/>
      <c r="AD2" s="366"/>
      <c r="AE2" s="366"/>
      <c r="AF2" s="366"/>
      <c r="AG2" s="366"/>
      <c r="AH2" s="366"/>
      <c r="AI2" s="366"/>
      <c r="AJ2" s="366"/>
      <c r="AK2" s="546"/>
      <c r="AL2" s="547" t="str">
        <f>IF('Master Deails'!H5="male","M","F")</f>
        <v>F</v>
      </c>
      <c r="AM2" s="546"/>
      <c r="AN2" s="546"/>
      <c r="AO2" s="441"/>
      <c r="AP2" s="441"/>
      <c r="AQ2" s="441"/>
      <c r="AR2" s="441"/>
      <c r="AS2" s="441"/>
      <c r="AT2" s="442"/>
      <c r="AU2" s="443"/>
      <c r="AV2" s="443"/>
    </row>
    <row r="3" spans="1:49" s="287" customFormat="1" ht="26.25" customHeight="1">
      <c r="A3" s="548"/>
      <c r="B3" s="549" t="s">
        <v>475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50"/>
      <c r="Q3" s="550"/>
      <c r="R3" s="550"/>
      <c r="S3" s="550"/>
      <c r="T3" s="550"/>
      <c r="U3" s="550"/>
      <c r="V3" s="550"/>
      <c r="W3" s="550"/>
      <c r="X3" s="550"/>
      <c r="Y3" s="550"/>
      <c r="Z3" s="550"/>
      <c r="AA3" s="550"/>
      <c r="AB3" s="550"/>
      <c r="AC3" s="550"/>
      <c r="AD3" s="551"/>
      <c r="AE3" s="551"/>
      <c r="AF3" s="551"/>
      <c r="AG3" s="553"/>
      <c r="AH3" s="551"/>
      <c r="AI3" s="551"/>
      <c r="AJ3" s="551"/>
      <c r="AK3" s="551"/>
      <c r="AL3" s="551"/>
      <c r="AM3" s="550"/>
      <c r="AN3" s="550"/>
      <c r="AO3" s="444"/>
      <c r="AP3" s="445"/>
      <c r="AQ3" s="445"/>
      <c r="AR3" s="445"/>
      <c r="AS3" s="445"/>
      <c r="AT3" s="443"/>
      <c r="AU3" s="443"/>
      <c r="AV3" s="443"/>
    </row>
    <row r="4" spans="1:49" s="287" customFormat="1" ht="15.75">
      <c r="A4" s="288"/>
      <c r="B4" s="552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58" t="s">
        <v>247</v>
      </c>
      <c r="S4" s="289"/>
      <c r="T4" s="289"/>
      <c r="U4" s="289"/>
      <c r="V4" s="289"/>
      <c r="W4" s="289"/>
      <c r="X4" s="289"/>
      <c r="Y4" s="289"/>
      <c r="Z4" s="289"/>
      <c r="AA4" s="289"/>
      <c r="AB4" s="289"/>
      <c r="AC4" s="289"/>
      <c r="AD4" s="289"/>
      <c r="AE4" s="289"/>
      <c r="AF4" s="289"/>
      <c r="AG4" s="289"/>
      <c r="AH4" s="289"/>
      <c r="AI4" s="289"/>
      <c r="AJ4" s="289"/>
      <c r="AK4" s="289"/>
      <c r="AL4" s="289"/>
      <c r="AM4" s="289"/>
      <c r="AN4" s="289"/>
      <c r="AO4" s="441"/>
      <c r="AP4" s="441"/>
      <c r="AQ4" s="441"/>
      <c r="AR4" s="441"/>
      <c r="AS4" s="441"/>
      <c r="AT4" s="443"/>
      <c r="AU4" s="443"/>
      <c r="AV4" s="443"/>
    </row>
    <row r="5" spans="1:49" s="275" customFormat="1">
      <c r="B5" s="276" t="s">
        <v>245</v>
      </c>
      <c r="C5" s="277" t="s">
        <v>113</v>
      </c>
      <c r="D5" s="277"/>
      <c r="E5" s="277"/>
      <c r="F5" s="277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325"/>
      <c r="W5" s="1829"/>
      <c r="X5" s="1829"/>
      <c r="Y5" s="1829"/>
      <c r="Z5" s="1829"/>
      <c r="AA5" s="1829"/>
      <c r="AB5" s="325"/>
      <c r="AC5" s="1829"/>
      <c r="AD5" s="1829"/>
      <c r="AE5" s="1829"/>
      <c r="AF5" s="1829"/>
      <c r="AG5" s="1829"/>
      <c r="AH5" s="325"/>
      <c r="AI5" s="1829"/>
      <c r="AJ5" s="1829"/>
      <c r="AK5" s="1829"/>
      <c r="AL5" s="1829"/>
      <c r="AM5" s="1829"/>
      <c r="AN5" s="278"/>
      <c r="AO5" s="446"/>
      <c r="AP5" s="446"/>
      <c r="AQ5" s="446"/>
      <c r="AR5" s="446"/>
      <c r="AS5" s="446"/>
      <c r="AT5" s="446"/>
      <c r="AU5" s="446"/>
      <c r="AV5" s="446"/>
      <c r="AW5" s="278"/>
    </row>
    <row r="6" spans="1:49" s="275" customFormat="1">
      <c r="B6" s="278"/>
      <c r="C6" s="296" t="s">
        <v>260</v>
      </c>
      <c r="D6" s="296" t="s">
        <v>261</v>
      </c>
      <c r="E6" s="277"/>
      <c r="F6" s="277"/>
      <c r="G6" s="278"/>
      <c r="H6" s="278"/>
      <c r="I6" s="278"/>
      <c r="J6" s="278"/>
      <c r="K6" s="278"/>
      <c r="Q6" s="278"/>
      <c r="R6" s="278"/>
      <c r="S6" s="329"/>
      <c r="T6" s="329"/>
      <c r="U6" s="329"/>
      <c r="V6" s="325"/>
      <c r="W6" s="1829"/>
      <c r="X6" s="1829"/>
      <c r="Y6" s="1829"/>
      <c r="Z6" s="1829"/>
      <c r="AA6" s="1829"/>
      <c r="AB6" s="325"/>
      <c r="AC6" s="1924"/>
      <c r="AD6" s="1924"/>
      <c r="AE6" s="1924"/>
      <c r="AF6" s="1924"/>
      <c r="AG6" s="1924"/>
      <c r="AH6" s="325"/>
      <c r="AI6" s="1924"/>
      <c r="AJ6" s="1924"/>
      <c r="AK6" s="1924"/>
      <c r="AL6" s="1924"/>
      <c r="AM6" s="1924"/>
      <c r="AO6" s="447"/>
      <c r="AP6" s="447"/>
      <c r="AQ6" s="447"/>
      <c r="AR6" s="447"/>
      <c r="AS6" s="447"/>
      <c r="AT6" s="447"/>
      <c r="AU6" s="447"/>
      <c r="AV6" s="447"/>
    </row>
    <row r="7" spans="1:49" s="275" customFormat="1">
      <c r="B7" s="278"/>
      <c r="C7" s="277" t="s">
        <v>104</v>
      </c>
      <c r="D7" s="277" t="s">
        <v>262</v>
      </c>
      <c r="E7" s="277"/>
      <c r="F7" s="277"/>
      <c r="G7" s="278"/>
      <c r="H7" s="278"/>
      <c r="I7" s="278"/>
      <c r="J7" s="278"/>
      <c r="K7" s="278"/>
      <c r="Q7" s="278"/>
      <c r="R7" s="278"/>
      <c r="S7" s="329"/>
      <c r="T7" s="329"/>
      <c r="U7" s="329"/>
      <c r="V7" s="325"/>
      <c r="W7" s="325"/>
      <c r="X7" s="325"/>
      <c r="Y7" s="325"/>
      <c r="Z7" s="325"/>
      <c r="AA7" s="325"/>
      <c r="AB7" s="356" t="s">
        <v>264</v>
      </c>
      <c r="AC7" s="361"/>
      <c r="AD7" s="361"/>
      <c r="AE7" s="361"/>
      <c r="AF7" s="361"/>
      <c r="AG7" s="362"/>
      <c r="AH7" s="356" t="s">
        <v>265</v>
      </c>
      <c r="AI7" s="361"/>
      <c r="AJ7" s="361"/>
      <c r="AK7" s="361"/>
      <c r="AL7" s="361"/>
      <c r="AM7" s="362"/>
      <c r="AO7" s="447"/>
      <c r="AP7" s="447"/>
      <c r="AQ7" s="447"/>
      <c r="AR7" s="447"/>
      <c r="AS7" s="447"/>
      <c r="AT7" s="447"/>
      <c r="AU7" s="447"/>
      <c r="AV7" s="447"/>
    </row>
    <row r="8" spans="1:49" s="275" customFormat="1">
      <c r="B8" s="278"/>
      <c r="C8" s="277"/>
      <c r="D8" s="297" t="str">
        <f>'Calculation (OLD)'!D62</f>
        <v>a</v>
      </c>
      <c r="E8" s="277" t="str">
        <f>'Calculation (OLD)'!E62</f>
        <v>GPF (Without NPS)</v>
      </c>
      <c r="F8" s="277"/>
      <c r="G8" s="278"/>
      <c r="H8" s="278"/>
      <c r="I8" s="278"/>
      <c r="J8" s="278"/>
      <c r="K8" s="278"/>
      <c r="Q8" s="278"/>
      <c r="R8" s="278"/>
      <c r="S8" s="330"/>
      <c r="T8" s="330"/>
      <c r="U8" s="330"/>
      <c r="V8" s="325" t="s">
        <v>234</v>
      </c>
      <c r="W8" s="1921">
        <f>'Calculation (OLD)'!P62</f>
        <v>24000</v>
      </c>
      <c r="X8" s="1922"/>
      <c r="Y8" s="1922"/>
      <c r="Z8" s="1922"/>
      <c r="AA8" s="1923"/>
      <c r="AB8" s="325" t="s">
        <v>234</v>
      </c>
      <c r="AC8" s="1921">
        <f>'Calculation (OLD)'!P62</f>
        <v>24000</v>
      </c>
      <c r="AD8" s="1922"/>
      <c r="AE8" s="1922"/>
      <c r="AF8" s="1922"/>
      <c r="AG8" s="1923"/>
      <c r="AH8" s="325" t="s">
        <v>234</v>
      </c>
      <c r="AI8" s="1837">
        <f>'Calculation (OLD)'!S62</f>
        <v>24000</v>
      </c>
      <c r="AJ8" s="1838"/>
      <c r="AK8" s="1838"/>
      <c r="AL8" s="1838"/>
      <c r="AM8" s="1839"/>
      <c r="AO8" s="447"/>
      <c r="AP8" s="447"/>
      <c r="AQ8" s="447"/>
      <c r="AR8" s="447"/>
      <c r="AS8" s="447"/>
      <c r="AT8" s="447"/>
      <c r="AU8" s="447"/>
      <c r="AV8" s="447"/>
    </row>
    <row r="9" spans="1:49" s="275" customFormat="1">
      <c r="B9" s="278"/>
      <c r="C9" s="277"/>
      <c r="D9" s="297" t="str">
        <f>'Calculation (OLD)'!D63</f>
        <v>b</v>
      </c>
      <c r="E9" s="277" t="str">
        <f>'Calculation (OLD)'!E63</f>
        <v>Group Insurance Scheme / CGEIS</v>
      </c>
      <c r="F9" s="277"/>
      <c r="G9" s="278"/>
      <c r="H9" s="278"/>
      <c r="I9" s="278"/>
      <c r="J9" s="278"/>
      <c r="K9" s="278"/>
      <c r="Q9" s="278"/>
      <c r="S9" s="330"/>
      <c r="T9" s="330"/>
      <c r="U9" s="330"/>
      <c r="V9" s="325" t="s">
        <v>234</v>
      </c>
      <c r="W9" s="1921">
        <f>'Calculation (OLD)'!P63</f>
        <v>4800</v>
      </c>
      <c r="X9" s="1922"/>
      <c r="Y9" s="1922"/>
      <c r="Z9" s="1922"/>
      <c r="AA9" s="1923"/>
      <c r="AB9" s="325" t="s">
        <v>234</v>
      </c>
      <c r="AC9" s="1921">
        <f>'Calculation (OLD)'!P63</f>
        <v>4800</v>
      </c>
      <c r="AD9" s="1922"/>
      <c r="AE9" s="1922"/>
      <c r="AF9" s="1922"/>
      <c r="AG9" s="1923"/>
      <c r="AH9" s="325" t="s">
        <v>234</v>
      </c>
      <c r="AI9" s="1837">
        <f>'Calculation (OLD)'!S63</f>
        <v>4800</v>
      </c>
      <c r="AJ9" s="1838"/>
      <c r="AK9" s="1838"/>
      <c r="AL9" s="1838"/>
      <c r="AM9" s="1839"/>
      <c r="AO9" s="447"/>
      <c r="AP9" s="447"/>
      <c r="AQ9" s="447"/>
      <c r="AR9" s="447"/>
      <c r="AS9" s="447"/>
      <c r="AT9" s="447"/>
      <c r="AU9" s="447"/>
      <c r="AV9" s="447"/>
    </row>
    <row r="10" spans="1:49" s="275" customFormat="1">
      <c r="B10" s="278"/>
      <c r="C10" s="277"/>
      <c r="D10" s="297" t="str">
        <f>'Calculation (OLD)'!D64</f>
        <v>c</v>
      </c>
      <c r="E10" s="277" t="str">
        <f>'Calculation (OLD)'!E64</f>
        <v>Public Provident Fund [ PPF ]</v>
      </c>
      <c r="F10" s="277"/>
      <c r="G10" s="278"/>
      <c r="H10" s="278"/>
      <c r="I10" s="278"/>
      <c r="J10" s="278"/>
      <c r="K10" s="278"/>
      <c r="Q10" s="278"/>
      <c r="S10" s="330"/>
      <c r="T10" s="330"/>
      <c r="U10" s="330"/>
      <c r="V10" s="325" t="s">
        <v>234</v>
      </c>
      <c r="W10" s="1921">
        <f>'Calculation (OLD)'!P64</f>
        <v>0</v>
      </c>
      <c r="X10" s="1922"/>
      <c r="Y10" s="1922"/>
      <c r="Z10" s="1922"/>
      <c r="AA10" s="1923"/>
      <c r="AB10" s="325" t="s">
        <v>234</v>
      </c>
      <c r="AC10" s="1921">
        <f>'Calculation (OLD)'!P64</f>
        <v>0</v>
      </c>
      <c r="AD10" s="1922"/>
      <c r="AE10" s="1922"/>
      <c r="AF10" s="1922"/>
      <c r="AG10" s="1923"/>
      <c r="AH10" s="325" t="s">
        <v>234</v>
      </c>
      <c r="AI10" s="1837">
        <f>'Calculation (OLD)'!S64</f>
        <v>0</v>
      </c>
      <c r="AJ10" s="1838"/>
      <c r="AK10" s="1838"/>
      <c r="AL10" s="1838"/>
      <c r="AM10" s="1839"/>
      <c r="AO10" s="447"/>
      <c r="AP10" s="447"/>
      <c r="AQ10" s="447"/>
      <c r="AR10" s="447"/>
      <c r="AS10" s="447"/>
      <c r="AT10" s="447"/>
      <c r="AU10" s="447"/>
      <c r="AV10" s="447"/>
    </row>
    <row r="11" spans="1:49" s="275" customFormat="1">
      <c r="B11" s="278"/>
      <c r="C11" s="277"/>
      <c r="D11" s="297" t="str">
        <f>'Calculation (OLD)'!D65</f>
        <v>d</v>
      </c>
      <c r="E11" s="277" t="str">
        <f>'Calculation (OLD)'!E65</f>
        <v>LIC Premium / PLI Premium</v>
      </c>
      <c r="F11" s="277"/>
      <c r="G11" s="278"/>
      <c r="H11" s="278"/>
      <c r="I11" s="278"/>
      <c r="J11" s="278"/>
      <c r="K11" s="278"/>
      <c r="Q11" s="278"/>
      <c r="S11" s="330"/>
      <c r="T11" s="330"/>
      <c r="U11" s="330"/>
      <c r="V11" s="325" t="s">
        <v>234</v>
      </c>
      <c r="W11" s="1921">
        <f>'Calculation (OLD)'!P65</f>
        <v>0</v>
      </c>
      <c r="X11" s="1922"/>
      <c r="Y11" s="1922"/>
      <c r="Z11" s="1922"/>
      <c r="AA11" s="1923"/>
      <c r="AB11" s="325" t="s">
        <v>234</v>
      </c>
      <c r="AC11" s="1921">
        <f>'Calculation (OLD)'!P65</f>
        <v>0</v>
      </c>
      <c r="AD11" s="1922"/>
      <c r="AE11" s="1922"/>
      <c r="AF11" s="1922"/>
      <c r="AG11" s="1923"/>
      <c r="AH11" s="325" t="s">
        <v>234</v>
      </c>
      <c r="AI11" s="1837">
        <f>'Calculation (OLD)'!S65</f>
        <v>0</v>
      </c>
      <c r="AJ11" s="1838"/>
      <c r="AK11" s="1838"/>
      <c r="AL11" s="1838"/>
      <c r="AM11" s="1839"/>
      <c r="AO11" s="447"/>
      <c r="AP11" s="447"/>
      <c r="AQ11" s="447"/>
      <c r="AR11" s="447"/>
      <c r="AS11" s="447"/>
      <c r="AT11" s="447"/>
      <c r="AU11" s="447"/>
      <c r="AV11" s="447"/>
    </row>
    <row r="12" spans="1:49" s="275" customFormat="1">
      <c r="B12" s="278"/>
      <c r="C12" s="277"/>
      <c r="D12" s="297" t="str">
        <f>'Calculation (OLD)'!D66</f>
        <v>e</v>
      </c>
      <c r="E12" s="277" t="str">
        <f>'Calculation (OLD)'!E66</f>
        <v>Any Other Deduction U/s 80C</v>
      </c>
      <c r="F12" s="277"/>
      <c r="G12" s="278"/>
      <c r="H12" s="278"/>
      <c r="I12" s="278"/>
      <c r="J12" s="278"/>
      <c r="K12" s="278"/>
      <c r="Q12" s="278"/>
      <c r="S12" s="330"/>
      <c r="T12" s="330"/>
      <c r="U12" s="330"/>
      <c r="V12" s="325" t="s">
        <v>234</v>
      </c>
      <c r="W12" s="1921">
        <f>'Calculation (OLD)'!P66</f>
        <v>0</v>
      </c>
      <c r="X12" s="1922"/>
      <c r="Y12" s="1922"/>
      <c r="Z12" s="1922"/>
      <c r="AA12" s="1923"/>
      <c r="AB12" s="325" t="s">
        <v>234</v>
      </c>
      <c r="AC12" s="1921">
        <f>'Calculation (OLD)'!P66</f>
        <v>0</v>
      </c>
      <c r="AD12" s="1922"/>
      <c r="AE12" s="1922"/>
      <c r="AF12" s="1922"/>
      <c r="AG12" s="1923"/>
      <c r="AH12" s="325" t="s">
        <v>234</v>
      </c>
      <c r="AI12" s="1837">
        <f>'Calculation (OLD)'!S66</f>
        <v>0</v>
      </c>
      <c r="AJ12" s="1838"/>
      <c r="AK12" s="1838"/>
      <c r="AL12" s="1838"/>
      <c r="AM12" s="1839"/>
      <c r="AO12" s="447"/>
      <c r="AP12" s="447"/>
      <c r="AQ12" s="447"/>
      <c r="AR12" s="447"/>
      <c r="AS12" s="447"/>
      <c r="AT12" s="447"/>
      <c r="AU12" s="447"/>
      <c r="AV12" s="447"/>
    </row>
    <row r="13" spans="1:49" s="275" customFormat="1" ht="23.25" customHeight="1">
      <c r="B13" s="278"/>
      <c r="C13" s="277"/>
      <c r="D13" s="297" t="str">
        <f>'Calculation (OLD)'!D67</f>
        <v>f</v>
      </c>
      <c r="E13" s="1926" t="str">
        <f>'Calculation (OLD)'!E67</f>
        <v>Deposit in 10 Year, 15 Years 
Account Under the Post Office Saving (CTD) / RD</v>
      </c>
      <c r="F13" s="1926"/>
      <c r="G13" s="1926"/>
      <c r="H13" s="1926"/>
      <c r="I13" s="1926"/>
      <c r="J13" s="1926"/>
      <c r="K13" s="1926"/>
      <c r="L13" s="1926"/>
      <c r="M13" s="1926"/>
      <c r="N13" s="1926"/>
      <c r="O13" s="1926"/>
      <c r="P13" s="1926"/>
      <c r="Q13" s="1926"/>
      <c r="R13" s="1926"/>
      <c r="S13" s="1926"/>
      <c r="T13" s="1926"/>
      <c r="U13" s="330"/>
      <c r="V13" s="325" t="s">
        <v>234</v>
      </c>
      <c r="W13" s="1921">
        <f>'Calculation (OLD)'!P67</f>
        <v>0</v>
      </c>
      <c r="X13" s="1922"/>
      <c r="Y13" s="1922"/>
      <c r="Z13" s="1922"/>
      <c r="AA13" s="1923"/>
      <c r="AB13" s="325" t="s">
        <v>234</v>
      </c>
      <c r="AC13" s="1921">
        <f>'Calculation (OLD)'!P67</f>
        <v>0</v>
      </c>
      <c r="AD13" s="1922"/>
      <c r="AE13" s="1922"/>
      <c r="AF13" s="1922"/>
      <c r="AG13" s="1923"/>
      <c r="AH13" s="325" t="s">
        <v>234</v>
      </c>
      <c r="AI13" s="1837">
        <f>'Calculation (OLD)'!S67</f>
        <v>0</v>
      </c>
      <c r="AJ13" s="1838"/>
      <c r="AK13" s="1838"/>
      <c r="AL13" s="1838"/>
      <c r="AM13" s="1839"/>
      <c r="AO13" s="447"/>
      <c r="AP13" s="447"/>
      <c r="AQ13" s="447"/>
      <c r="AR13" s="447"/>
      <c r="AS13" s="447"/>
      <c r="AT13" s="447"/>
      <c r="AU13" s="447"/>
      <c r="AV13" s="447"/>
    </row>
    <row r="14" spans="1:49" s="275" customFormat="1">
      <c r="B14" s="278"/>
      <c r="C14" s="277"/>
      <c r="D14" s="297" t="str">
        <f>'Calculation (OLD)'!D68</f>
        <v>g</v>
      </c>
      <c r="E14" s="277" t="str">
        <f>'Calculation (OLD)'!E68</f>
        <v>N S C</v>
      </c>
      <c r="F14" s="277"/>
      <c r="G14" s="277"/>
      <c r="H14" s="277"/>
      <c r="I14" s="277"/>
      <c r="J14" s="277"/>
      <c r="K14" s="277"/>
      <c r="Q14" s="278"/>
      <c r="S14" s="330"/>
      <c r="T14" s="330"/>
      <c r="U14" s="330"/>
      <c r="V14" s="325" t="s">
        <v>234</v>
      </c>
      <c r="W14" s="1921">
        <f>'Calculation (OLD)'!P68</f>
        <v>0</v>
      </c>
      <c r="X14" s="1922"/>
      <c r="Y14" s="1922"/>
      <c r="Z14" s="1922"/>
      <c r="AA14" s="1923"/>
      <c r="AB14" s="325" t="s">
        <v>234</v>
      </c>
      <c r="AC14" s="1921">
        <f>'Calculation (OLD)'!P68</f>
        <v>0</v>
      </c>
      <c r="AD14" s="1922"/>
      <c r="AE14" s="1922"/>
      <c r="AF14" s="1922"/>
      <c r="AG14" s="1923"/>
      <c r="AH14" s="325" t="s">
        <v>234</v>
      </c>
      <c r="AI14" s="1837">
        <f>'Calculation (OLD)'!S68</f>
        <v>0</v>
      </c>
      <c r="AJ14" s="1838"/>
      <c r="AK14" s="1838"/>
      <c r="AL14" s="1838"/>
      <c r="AM14" s="1839"/>
      <c r="AO14" s="447"/>
      <c r="AP14" s="447"/>
      <c r="AQ14" s="447"/>
      <c r="AR14" s="447"/>
      <c r="AS14" s="447"/>
      <c r="AT14" s="447"/>
      <c r="AU14" s="447"/>
      <c r="AV14" s="447"/>
    </row>
    <row r="15" spans="1:49" s="275" customFormat="1">
      <c r="B15" s="278"/>
      <c r="C15" s="277"/>
      <c r="D15" s="297" t="str">
        <f>'Calculation (OLD)'!D69</f>
        <v>h</v>
      </c>
      <c r="E15" s="908" t="str">
        <f>'Calculation (OLD)'!E69</f>
        <v>N S C</v>
      </c>
      <c r="F15" s="277"/>
      <c r="G15" s="277"/>
      <c r="H15" s="277"/>
      <c r="I15" s="277"/>
      <c r="J15" s="277"/>
      <c r="K15" s="277"/>
      <c r="Q15" s="278"/>
      <c r="S15" s="330"/>
      <c r="T15" s="330"/>
      <c r="U15" s="330"/>
      <c r="V15" s="325" t="s">
        <v>234</v>
      </c>
      <c r="W15" s="1921">
        <f>'Calculation (OLD)'!P69</f>
        <v>0</v>
      </c>
      <c r="X15" s="1922"/>
      <c r="Y15" s="1922"/>
      <c r="Z15" s="1922"/>
      <c r="AA15" s="1923"/>
      <c r="AB15" s="325" t="s">
        <v>234</v>
      </c>
      <c r="AC15" s="1921">
        <f>'Calculation (OLD)'!P69</f>
        <v>0</v>
      </c>
      <c r="AD15" s="1922"/>
      <c r="AE15" s="1922"/>
      <c r="AF15" s="1922"/>
      <c r="AG15" s="1923"/>
      <c r="AH15" s="325" t="s">
        <v>234</v>
      </c>
      <c r="AI15" s="1837">
        <f>'Calculation (OLD)'!S69</f>
        <v>0</v>
      </c>
      <c r="AJ15" s="1838"/>
      <c r="AK15" s="1838"/>
      <c r="AL15" s="1838"/>
      <c r="AM15" s="1839"/>
      <c r="AO15" s="447"/>
      <c r="AP15" s="447"/>
      <c r="AQ15" s="447"/>
      <c r="AR15" s="447"/>
      <c r="AS15" s="447"/>
      <c r="AT15" s="447"/>
      <c r="AU15" s="447"/>
      <c r="AV15" s="447"/>
    </row>
    <row r="16" spans="1:49" s="275" customFormat="1">
      <c r="B16" s="276"/>
      <c r="C16" s="277"/>
      <c r="D16" s="297" t="str">
        <f>'Calculation (OLD)'!D70</f>
        <v>i</v>
      </c>
      <c r="E16" s="277" t="str">
        <f>'Calculation (OLD)'!E70</f>
        <v>NSC Interest re-invested</v>
      </c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331"/>
      <c r="U16" s="331"/>
      <c r="V16" s="325" t="s">
        <v>234</v>
      </c>
      <c r="W16" s="1921">
        <f>'Calculation (OLD)'!P70</f>
        <v>0</v>
      </c>
      <c r="X16" s="1922"/>
      <c r="Y16" s="1922"/>
      <c r="Z16" s="1922"/>
      <c r="AA16" s="1923"/>
      <c r="AB16" s="325" t="s">
        <v>234</v>
      </c>
      <c r="AC16" s="1921">
        <f>'Calculation (OLD)'!P70</f>
        <v>0</v>
      </c>
      <c r="AD16" s="1922"/>
      <c r="AE16" s="1922"/>
      <c r="AF16" s="1922"/>
      <c r="AG16" s="1923"/>
      <c r="AH16" s="325" t="s">
        <v>234</v>
      </c>
      <c r="AI16" s="1837">
        <f>'Calculation (OLD)'!S70</f>
        <v>0</v>
      </c>
      <c r="AJ16" s="1838"/>
      <c r="AK16" s="1838"/>
      <c r="AL16" s="1838"/>
      <c r="AM16" s="1839"/>
      <c r="AN16" s="278"/>
      <c r="AO16" s="446"/>
      <c r="AP16" s="447"/>
      <c r="AQ16" s="447"/>
      <c r="AR16" s="447"/>
      <c r="AS16" s="447"/>
      <c r="AT16" s="447"/>
      <c r="AU16" s="447"/>
      <c r="AV16" s="447"/>
    </row>
    <row r="17" spans="1:51" s="275" customFormat="1">
      <c r="A17" s="277"/>
      <c r="B17" s="276"/>
      <c r="C17" s="277"/>
      <c r="D17" s="297" t="str">
        <f>'Calculation (OLD)'!D71</f>
        <v>j</v>
      </c>
      <c r="E17" s="277" t="str">
        <f>'Calculation (OLD)'!E71</f>
        <v>ULIP / Infrastructure bonds</v>
      </c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325" t="s">
        <v>234</v>
      </c>
      <c r="W17" s="1921">
        <f>'Calculation (OLD)'!P71</f>
        <v>0</v>
      </c>
      <c r="X17" s="1922"/>
      <c r="Y17" s="1922"/>
      <c r="Z17" s="1922"/>
      <c r="AA17" s="1923"/>
      <c r="AB17" s="325" t="s">
        <v>234</v>
      </c>
      <c r="AC17" s="1921">
        <f>'Calculation (OLD)'!P71</f>
        <v>0</v>
      </c>
      <c r="AD17" s="1922"/>
      <c r="AE17" s="1922"/>
      <c r="AF17" s="1922"/>
      <c r="AG17" s="1923"/>
      <c r="AH17" s="325" t="s">
        <v>234</v>
      </c>
      <c r="AI17" s="1837">
        <f>'Calculation (OLD)'!S71</f>
        <v>0</v>
      </c>
      <c r="AJ17" s="1838"/>
      <c r="AK17" s="1838"/>
      <c r="AL17" s="1838"/>
      <c r="AM17" s="1839"/>
      <c r="AN17" s="278"/>
      <c r="AO17" s="446"/>
      <c r="AP17" s="447"/>
      <c r="AQ17" s="447"/>
      <c r="AR17" s="447"/>
      <c r="AS17" s="447"/>
      <c r="AT17" s="447"/>
      <c r="AU17" s="447"/>
      <c r="AV17" s="447"/>
    </row>
    <row r="18" spans="1:51" s="275" customFormat="1">
      <c r="A18" s="277"/>
      <c r="B18" s="276"/>
      <c r="C18" s="277"/>
      <c r="D18" s="297" t="str">
        <f>'Calculation (OLD)'!D72</f>
        <v>k</v>
      </c>
      <c r="E18" s="277" t="str">
        <f>'Calculation (OLD)'!E72</f>
        <v>Equity link Saving fund [ Max. Rs. 15,000/- ]</v>
      </c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325" t="s">
        <v>234</v>
      </c>
      <c r="W18" s="1921">
        <f>'Calculation (OLD)'!P72+'Calculation (OLD)'!P73</f>
        <v>0</v>
      </c>
      <c r="X18" s="1922"/>
      <c r="Y18" s="1922"/>
      <c r="Z18" s="1922"/>
      <c r="AA18" s="1923"/>
      <c r="AB18" s="325" t="s">
        <v>234</v>
      </c>
      <c r="AC18" s="1921">
        <f>'Calculation (OLD)'!P72+'Calculation (OLD)'!P73</f>
        <v>0</v>
      </c>
      <c r="AD18" s="1922"/>
      <c r="AE18" s="1922"/>
      <c r="AF18" s="1922"/>
      <c r="AG18" s="1923"/>
      <c r="AH18" s="325" t="s">
        <v>234</v>
      </c>
      <c r="AI18" s="1837">
        <f>'Calculation (OLD)'!S72+'Calculation (OLD)'!S73</f>
        <v>0</v>
      </c>
      <c r="AJ18" s="1838"/>
      <c r="AK18" s="1838"/>
      <c r="AL18" s="1838"/>
      <c r="AM18" s="1839"/>
      <c r="AN18" s="278"/>
      <c r="AO18" s="446"/>
      <c r="AP18" s="447"/>
      <c r="AQ18" s="447"/>
      <c r="AR18" s="447"/>
      <c r="AS18" s="447"/>
      <c r="AT18" s="447"/>
      <c r="AU18" s="447"/>
      <c r="AV18" s="447"/>
    </row>
    <row r="19" spans="1:51" s="275" customFormat="1">
      <c r="A19" s="277"/>
      <c r="B19" s="276"/>
      <c r="C19" s="277"/>
      <c r="D19" s="297" t="str">
        <f>'Calculation (OLD)'!D73</f>
        <v>l</v>
      </c>
      <c r="E19" s="277" t="str">
        <f>'Calculation (OLD)'!E73</f>
        <v>Equity Shares or Debentures (Subject to a limit of Rs.1,50,000/-)</v>
      </c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  <c r="V19" s="325"/>
      <c r="W19" s="911"/>
      <c r="X19" s="912"/>
      <c r="Y19" s="912"/>
      <c r="Z19" s="912"/>
      <c r="AA19" s="912"/>
      <c r="AB19" s="325"/>
      <c r="AC19" s="912"/>
      <c r="AD19" s="912"/>
      <c r="AE19" s="912"/>
      <c r="AF19" s="912"/>
      <c r="AG19" s="912"/>
      <c r="AH19" s="325"/>
      <c r="AI19" s="363"/>
      <c r="AJ19" s="363"/>
      <c r="AK19" s="363"/>
      <c r="AL19" s="363"/>
      <c r="AM19" s="363"/>
      <c r="AN19" s="278"/>
      <c r="AO19" s="446"/>
      <c r="AP19" s="447"/>
      <c r="AQ19" s="447"/>
      <c r="AR19" s="447"/>
      <c r="AS19" s="447"/>
      <c r="AT19" s="447"/>
      <c r="AU19" s="447"/>
      <c r="AV19" s="447"/>
    </row>
    <row r="20" spans="1:51">
      <c r="A20" s="209"/>
      <c r="B20" s="259"/>
      <c r="C20" s="267"/>
      <c r="D20" s="297" t="str">
        <f>'Calculation (OLD)'!D74</f>
        <v>m</v>
      </c>
      <c r="E20" s="277" t="str">
        <f>'Calculation (OLD)'!E74</f>
        <v>Investment in pension fund &amp; ELSS U/s 80C</v>
      </c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325" t="s">
        <v>234</v>
      </c>
      <c r="W20" s="1921">
        <f>'Calculation (OLD)'!P74</f>
        <v>0</v>
      </c>
      <c r="X20" s="1922"/>
      <c r="Y20" s="1922"/>
      <c r="Z20" s="1922"/>
      <c r="AA20" s="1923"/>
      <c r="AB20" s="325" t="s">
        <v>234</v>
      </c>
      <c r="AC20" s="1921">
        <f>'Calculation (OLD)'!P74</f>
        <v>0</v>
      </c>
      <c r="AD20" s="1922"/>
      <c r="AE20" s="1922"/>
      <c r="AF20" s="1922"/>
      <c r="AG20" s="1923"/>
      <c r="AH20" s="325" t="s">
        <v>234</v>
      </c>
      <c r="AI20" s="1837">
        <f>'Calculation (OLD)'!S74</f>
        <v>0</v>
      </c>
      <c r="AJ20" s="1838"/>
      <c r="AK20" s="1838"/>
      <c r="AL20" s="1838"/>
      <c r="AM20" s="1839"/>
      <c r="AN20" s="268"/>
      <c r="AO20" s="448"/>
      <c r="AP20" s="448"/>
      <c r="AQ20" s="448"/>
      <c r="AR20" s="448"/>
      <c r="AS20" s="448"/>
      <c r="AT20" s="448"/>
      <c r="AU20" s="448"/>
      <c r="AV20" s="448"/>
      <c r="AW20" s="268"/>
      <c r="AX20" s="268"/>
      <c r="AY20" s="268"/>
    </row>
    <row r="21" spans="1:51">
      <c r="A21" s="209"/>
      <c r="B21" s="218"/>
      <c r="C21" s="218"/>
      <c r="D21" s="297" t="str">
        <f>'Calculation (OLD)'!D75</f>
        <v>n</v>
      </c>
      <c r="E21" s="277" t="str">
        <f>'Calculation (OLD)'!E75</f>
        <v>HBA Repayment of Principal ( Except Interest )</v>
      </c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V21" s="325" t="s">
        <v>234</v>
      </c>
      <c r="W21" s="1921">
        <f>'Calculation (OLD)'!P75</f>
        <v>0</v>
      </c>
      <c r="X21" s="1922"/>
      <c r="Y21" s="1922"/>
      <c r="Z21" s="1922"/>
      <c r="AA21" s="1923"/>
      <c r="AB21" s="325" t="s">
        <v>234</v>
      </c>
      <c r="AC21" s="1921">
        <f>'Calculation (OLD)'!P75</f>
        <v>0</v>
      </c>
      <c r="AD21" s="1922"/>
      <c r="AE21" s="1922"/>
      <c r="AF21" s="1922"/>
      <c r="AG21" s="1923"/>
      <c r="AH21" s="325" t="s">
        <v>234</v>
      </c>
      <c r="AI21" s="1837">
        <f>'Calculation (OLD)'!S75</f>
        <v>0</v>
      </c>
      <c r="AJ21" s="1838"/>
      <c r="AK21" s="1838"/>
      <c r="AL21" s="1838"/>
      <c r="AM21" s="1839"/>
      <c r="AN21" s="268"/>
      <c r="AO21" s="448"/>
      <c r="AP21" s="448"/>
      <c r="AQ21" s="448"/>
      <c r="AR21" s="448"/>
      <c r="AS21" s="448"/>
      <c r="AT21" s="448"/>
      <c r="AU21" s="448"/>
      <c r="AV21" s="448"/>
      <c r="AW21" s="268"/>
      <c r="AX21" s="268"/>
    </row>
    <row r="22" spans="1:51" ht="30.75" customHeight="1">
      <c r="A22" s="209"/>
      <c r="B22" s="218"/>
      <c r="C22" s="218"/>
      <c r="D22" s="297" t="str">
        <f>'Calculation (OLD)'!D76</f>
        <v>o</v>
      </c>
      <c r="E22" s="1939" t="str">
        <f>'Calculation (OLD)'!E76</f>
        <v>Term deposit for a fixed period (Bank Term Deposit Scheme, 2006)</v>
      </c>
      <c r="F22" s="1940"/>
      <c r="G22" s="1940"/>
      <c r="H22" s="1940"/>
      <c r="I22" s="1940"/>
      <c r="J22" s="1940"/>
      <c r="K22" s="1940"/>
      <c r="L22" s="1940"/>
      <c r="M22" s="1940"/>
      <c r="N22" s="1940"/>
      <c r="O22" s="1940"/>
      <c r="P22" s="1940"/>
      <c r="Q22" s="1940"/>
      <c r="R22" s="1940"/>
      <c r="S22" s="1940"/>
      <c r="T22" s="1940"/>
      <c r="U22" s="218"/>
      <c r="V22" s="325" t="s">
        <v>234</v>
      </c>
      <c r="W22" s="1921">
        <f>'Calculation (OLD)'!P76</f>
        <v>0</v>
      </c>
      <c r="X22" s="1922"/>
      <c r="Y22" s="1922"/>
      <c r="Z22" s="1922"/>
      <c r="AA22" s="1923"/>
      <c r="AB22" s="325" t="s">
        <v>234</v>
      </c>
      <c r="AC22" s="1921">
        <f>'Calculation (OLD)'!P76</f>
        <v>0</v>
      </c>
      <c r="AD22" s="1922"/>
      <c r="AE22" s="1922"/>
      <c r="AF22" s="1922"/>
      <c r="AG22" s="1923"/>
      <c r="AH22" s="325" t="s">
        <v>234</v>
      </c>
      <c r="AI22" s="1837">
        <f>'Calculation (OLD)'!S76</f>
        <v>0</v>
      </c>
      <c r="AJ22" s="1838"/>
      <c r="AK22" s="1838"/>
      <c r="AL22" s="1838"/>
      <c r="AM22" s="1839"/>
      <c r="AN22" s="268"/>
      <c r="AO22" s="448"/>
      <c r="AP22" s="448"/>
      <c r="AQ22" s="448"/>
      <c r="AR22" s="448"/>
      <c r="AS22" s="448"/>
      <c r="AT22" s="448"/>
      <c r="AU22" s="448"/>
      <c r="AV22" s="448"/>
      <c r="AW22" s="268"/>
      <c r="AX22" s="268"/>
    </row>
    <row r="23" spans="1:51" s="209" customFormat="1">
      <c r="B23" s="218"/>
      <c r="C23" s="218"/>
      <c r="D23" s="297" t="str">
        <f>'Calculation (OLD)'!D77</f>
        <v>p</v>
      </c>
      <c r="E23" s="277" t="str">
        <f>'Calculation (OLD)'!E77</f>
        <v>Education Expenses [Tuition Frees Only][up to 2 children]</v>
      </c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325" t="s">
        <v>234</v>
      </c>
      <c r="W23" s="1921">
        <f>'Calculation (OLD)'!P77</f>
        <v>0</v>
      </c>
      <c r="X23" s="1922"/>
      <c r="Y23" s="1922"/>
      <c r="Z23" s="1922"/>
      <c r="AA23" s="1923"/>
      <c r="AB23" s="325" t="s">
        <v>234</v>
      </c>
      <c r="AC23" s="1921">
        <f>'Calculation (OLD)'!P77</f>
        <v>0</v>
      </c>
      <c r="AD23" s="1922"/>
      <c r="AE23" s="1922"/>
      <c r="AF23" s="1922"/>
      <c r="AG23" s="1923"/>
      <c r="AH23" s="325" t="s">
        <v>234</v>
      </c>
      <c r="AI23" s="1837">
        <f>'Calculation (OLD)'!S77</f>
        <v>0</v>
      </c>
      <c r="AJ23" s="1838"/>
      <c r="AK23" s="1838"/>
      <c r="AL23" s="1838"/>
      <c r="AM23" s="1839"/>
      <c r="AN23" s="218"/>
      <c r="AO23" s="448"/>
      <c r="AP23" s="448"/>
      <c r="AQ23" s="448"/>
      <c r="AR23" s="448"/>
      <c r="AS23" s="448"/>
      <c r="AT23" s="448"/>
      <c r="AU23" s="448"/>
      <c r="AV23" s="448"/>
      <c r="AW23" s="218"/>
      <c r="AX23" s="218"/>
    </row>
    <row r="24" spans="1:51" ht="15" customHeight="1">
      <c r="A24" s="266"/>
      <c r="B24" s="291"/>
      <c r="C24" s="277" t="s">
        <v>76</v>
      </c>
      <c r="D24" s="277" t="s">
        <v>266</v>
      </c>
      <c r="E24" s="277"/>
      <c r="F24" s="291"/>
      <c r="G24" s="268"/>
      <c r="H24" s="268"/>
      <c r="I24" s="268"/>
      <c r="J24" s="268"/>
      <c r="K24" s="268"/>
      <c r="L24" s="266"/>
      <c r="M24" s="266"/>
      <c r="N24" s="266"/>
      <c r="O24" s="266"/>
      <c r="P24" s="266"/>
      <c r="Q24" s="266"/>
      <c r="R24" s="268"/>
      <c r="S24" s="268"/>
      <c r="T24" s="292"/>
      <c r="U24" s="292"/>
      <c r="V24" s="325"/>
      <c r="W24" s="1941"/>
      <c r="X24" s="1941"/>
      <c r="Y24" s="1941"/>
      <c r="Z24" s="1941"/>
      <c r="AA24" s="1941"/>
      <c r="AB24" s="325"/>
      <c r="AC24" s="1950"/>
      <c r="AD24" s="1950"/>
      <c r="AE24" s="1950"/>
      <c r="AF24" s="1950"/>
      <c r="AG24" s="1950"/>
      <c r="AH24" s="325"/>
      <c r="AI24" s="1949">
        <f>SUM(AI8:AM23)</f>
        <v>28800</v>
      </c>
      <c r="AJ24" s="1949"/>
      <c r="AK24" s="1949"/>
      <c r="AL24" s="1949"/>
      <c r="AM24" s="1949"/>
      <c r="AN24" s="339"/>
      <c r="AO24" s="449"/>
      <c r="AP24" s="449"/>
      <c r="AQ24" s="449"/>
      <c r="AR24" s="449"/>
      <c r="AS24" s="448"/>
      <c r="AT24" s="448"/>
      <c r="AU24" s="448"/>
      <c r="AV24" s="448"/>
      <c r="AW24" s="268"/>
    </row>
    <row r="25" spans="1:51" ht="15" customHeight="1">
      <c r="A25" s="266"/>
      <c r="B25" s="291"/>
      <c r="C25" s="277"/>
      <c r="D25" s="276" t="s">
        <v>104</v>
      </c>
      <c r="E25" s="277" t="str">
        <f>'Calculation (OLD)'!E78</f>
        <v>Investment in Pension Scheme  U/s 80CCC</v>
      </c>
      <c r="F25" s="291"/>
      <c r="G25" s="268"/>
      <c r="H25" s="268"/>
      <c r="I25" s="268"/>
      <c r="J25" s="268"/>
      <c r="K25" s="268"/>
      <c r="L25" s="266"/>
      <c r="M25" s="266"/>
      <c r="N25" s="266"/>
      <c r="O25" s="266"/>
      <c r="P25" s="266"/>
      <c r="Q25" s="266"/>
      <c r="R25" s="268"/>
      <c r="S25" s="268"/>
      <c r="T25" s="292"/>
      <c r="U25" s="292"/>
      <c r="V25" s="325"/>
      <c r="W25" s="1831"/>
      <c r="X25" s="1831"/>
      <c r="Y25" s="1831"/>
      <c r="Z25" s="1831"/>
      <c r="AA25" s="1831"/>
      <c r="AB25" s="325" t="s">
        <v>234</v>
      </c>
      <c r="AC25" s="1837">
        <f>'Calculation (OLD)'!P78</f>
        <v>0</v>
      </c>
      <c r="AD25" s="1838"/>
      <c r="AE25" s="1838"/>
      <c r="AF25" s="1838"/>
      <c r="AG25" s="1839"/>
      <c r="AH25" s="325" t="s">
        <v>234</v>
      </c>
      <c r="AI25" s="1837">
        <v>0</v>
      </c>
      <c r="AJ25" s="1838"/>
      <c r="AK25" s="1838"/>
      <c r="AL25" s="1838"/>
      <c r="AM25" s="1839"/>
      <c r="AN25" s="339"/>
      <c r="AO25" s="449"/>
      <c r="AP25" s="449"/>
      <c r="AQ25" s="449"/>
      <c r="AR25" s="449"/>
      <c r="AS25" s="448"/>
      <c r="AT25" s="448"/>
      <c r="AU25" s="448"/>
      <c r="AV25" s="448"/>
      <c r="AW25" s="268"/>
    </row>
    <row r="26" spans="1:51" s="209" customFormat="1">
      <c r="B26" s="218"/>
      <c r="C26" s="218"/>
      <c r="D26" s="276" t="s">
        <v>76</v>
      </c>
      <c r="E26" s="277" t="str">
        <f>'Calculation (OLD)'!E79</f>
        <v>Jivan Suraksha premium u/s 80-CCC[Max.Rs.10,000]</v>
      </c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325"/>
      <c r="W26" s="1831"/>
      <c r="X26" s="1831"/>
      <c r="Y26" s="1831"/>
      <c r="Z26" s="1831"/>
      <c r="AA26" s="1831"/>
      <c r="AB26" s="325" t="s">
        <v>234</v>
      </c>
      <c r="AC26" s="1837">
        <f>'Calculation (OLD)'!P79</f>
        <v>0</v>
      </c>
      <c r="AD26" s="1838"/>
      <c r="AE26" s="1838"/>
      <c r="AF26" s="1838"/>
      <c r="AG26" s="1839"/>
      <c r="AH26" s="325" t="s">
        <v>234</v>
      </c>
      <c r="AI26" s="1837">
        <v>0</v>
      </c>
      <c r="AJ26" s="1838"/>
      <c r="AK26" s="1838"/>
      <c r="AL26" s="1838"/>
      <c r="AM26" s="1839"/>
      <c r="AN26" s="218"/>
      <c r="AO26" s="448"/>
      <c r="AP26" s="448"/>
      <c r="AQ26" s="448"/>
      <c r="AR26" s="448"/>
      <c r="AS26" s="448"/>
      <c r="AT26" s="448"/>
      <c r="AU26" s="448"/>
      <c r="AV26" s="448"/>
      <c r="AW26" s="218"/>
      <c r="AX26" s="218"/>
    </row>
    <row r="27" spans="1:51" s="218" customFormat="1" ht="3.75" customHeight="1">
      <c r="D27" s="276"/>
      <c r="E27" s="277"/>
      <c r="V27" s="325"/>
      <c r="W27" s="355"/>
      <c r="X27" s="355"/>
      <c r="Y27" s="355"/>
      <c r="Z27" s="355"/>
      <c r="AA27" s="355"/>
      <c r="AB27" s="325"/>
      <c r="AC27" s="363"/>
      <c r="AD27" s="363"/>
      <c r="AE27" s="363"/>
      <c r="AF27" s="363"/>
      <c r="AG27" s="363"/>
      <c r="AH27" s="325"/>
      <c r="AI27" s="1948">
        <f>SUM(AI25+AI26)</f>
        <v>0</v>
      </c>
      <c r="AJ27" s="1948"/>
      <c r="AK27" s="1948"/>
      <c r="AL27" s="1948"/>
      <c r="AM27" s="1948"/>
      <c r="AO27" s="448"/>
      <c r="AP27" s="448"/>
      <c r="AQ27" s="448"/>
      <c r="AR27" s="448"/>
      <c r="AS27" s="448"/>
      <c r="AT27" s="448"/>
      <c r="AU27" s="448"/>
      <c r="AV27" s="448"/>
    </row>
    <row r="28" spans="1:51" s="275" customFormat="1" ht="20.25" customHeight="1">
      <c r="B28" s="277"/>
      <c r="C28" s="277" t="s">
        <v>105</v>
      </c>
      <c r="D28" s="277" t="str">
        <f>'Calculation (OLD)'!D80</f>
        <v>Section 80CCD(2) NPS Contribution Employee's &amp; Employer</v>
      </c>
      <c r="E28" s="277"/>
      <c r="F28" s="277"/>
      <c r="G28" s="278"/>
      <c r="H28" s="278"/>
      <c r="I28" s="278"/>
      <c r="J28" s="278"/>
      <c r="K28" s="278"/>
      <c r="R28" s="278"/>
      <c r="S28" s="278"/>
      <c r="T28" s="294"/>
      <c r="U28" s="294"/>
      <c r="V28" s="325"/>
      <c r="W28" s="1831"/>
      <c r="X28" s="1831"/>
      <c r="Y28" s="1831"/>
      <c r="Z28" s="1831"/>
      <c r="AA28" s="1831"/>
      <c r="AB28" s="325" t="s">
        <v>234</v>
      </c>
      <c r="AC28" s="1927">
        <f>'Calculation (OLD)'!P80</f>
        <v>0</v>
      </c>
      <c r="AD28" s="1928"/>
      <c r="AE28" s="1928"/>
      <c r="AF28" s="1928"/>
      <c r="AG28" s="1929"/>
      <c r="AH28" s="325" t="s">
        <v>234</v>
      </c>
      <c r="AI28" s="1927">
        <f>'Calculation (OLD)'!S80</f>
        <v>0</v>
      </c>
      <c r="AJ28" s="1928"/>
      <c r="AK28" s="1928"/>
      <c r="AL28" s="1928"/>
      <c r="AM28" s="1929"/>
      <c r="AN28" s="295"/>
      <c r="AO28" s="450"/>
      <c r="AP28" s="450"/>
      <c r="AQ28" s="450"/>
      <c r="AR28" s="450"/>
      <c r="AS28" s="7"/>
      <c r="AT28" s="7"/>
      <c r="AU28" s="7"/>
      <c r="AV28" s="7"/>
      <c r="AW28" s="278"/>
    </row>
    <row r="29" spans="1:51" s="218" customFormat="1" ht="5.25" customHeight="1">
      <c r="D29" s="276"/>
      <c r="E29" s="277"/>
      <c r="V29" s="325"/>
      <c r="W29" s="355"/>
      <c r="X29" s="355"/>
      <c r="Y29" s="355"/>
      <c r="Z29" s="355"/>
      <c r="AA29" s="355"/>
      <c r="AB29" s="325"/>
      <c r="AC29" s="363"/>
      <c r="AD29" s="363"/>
      <c r="AE29" s="363"/>
      <c r="AF29" s="363"/>
      <c r="AG29" s="363"/>
      <c r="AH29" s="325"/>
      <c r="AI29" s="363"/>
      <c r="AJ29" s="363"/>
      <c r="AK29" s="363"/>
      <c r="AL29" s="363"/>
      <c r="AM29" s="363"/>
      <c r="AO29" s="241"/>
      <c r="AP29" s="241"/>
      <c r="AQ29" s="241"/>
      <c r="AR29" s="241"/>
      <c r="AS29" s="241"/>
      <c r="AT29" s="241"/>
      <c r="AU29" s="241"/>
      <c r="AV29" s="241"/>
    </row>
    <row r="30" spans="1:51" s="275" customFormat="1" ht="29.25" customHeight="1">
      <c r="B30" s="277"/>
      <c r="D30" s="1926" t="s">
        <v>423</v>
      </c>
      <c r="E30" s="1926"/>
      <c r="F30" s="1926"/>
      <c r="G30" s="1926"/>
      <c r="H30" s="1926"/>
      <c r="I30" s="1926"/>
      <c r="J30" s="1926"/>
      <c r="K30" s="1926"/>
      <c r="L30" s="1926"/>
      <c r="M30" s="1926"/>
      <c r="N30" s="1926"/>
      <c r="O30" s="1926"/>
      <c r="P30" s="1926"/>
      <c r="Q30" s="1926"/>
      <c r="R30" s="1926"/>
      <c r="S30" s="1926"/>
      <c r="T30" s="1926"/>
      <c r="U30" s="294"/>
      <c r="V30" s="325"/>
      <c r="W30" s="1831"/>
      <c r="X30" s="1831"/>
      <c r="Y30" s="1831"/>
      <c r="Z30" s="1831"/>
      <c r="AA30" s="1831"/>
      <c r="AB30" s="325" t="s">
        <v>234</v>
      </c>
      <c r="AC30" s="1837">
        <f>AC8+AC9+AC10+AC11+AC12+AC13+AC14+AC16+AC17+AC18+AC20+AC21+AC22+AC23+AC25+AC26+AC28</f>
        <v>28800</v>
      </c>
      <c r="AD30" s="1838"/>
      <c r="AE30" s="1838"/>
      <c r="AF30" s="1838"/>
      <c r="AG30" s="1839"/>
      <c r="AH30" s="325" t="s">
        <v>234</v>
      </c>
      <c r="AI30" s="1837">
        <f>IF(150000&gt;=AC30,AC30,150000)</f>
        <v>28800</v>
      </c>
      <c r="AJ30" s="1838"/>
      <c r="AK30" s="1838"/>
      <c r="AL30" s="1838"/>
      <c r="AM30" s="1839"/>
      <c r="AN30" s="295"/>
      <c r="AO30" s="451"/>
      <c r="AP30" s="451"/>
      <c r="AQ30" s="451"/>
      <c r="AR30" s="451"/>
      <c r="AS30" s="446"/>
      <c r="AT30" s="446"/>
      <c r="AU30" s="446"/>
      <c r="AV30" s="446"/>
      <c r="AW30" s="278"/>
    </row>
    <row r="31" spans="1:51" s="275" customFormat="1">
      <c r="B31" s="277"/>
      <c r="D31" s="277" t="s">
        <v>366</v>
      </c>
      <c r="E31" s="277"/>
      <c r="F31" s="277"/>
      <c r="G31" s="278"/>
      <c r="H31" s="278"/>
      <c r="I31" s="278"/>
      <c r="J31" s="278"/>
      <c r="K31" s="278"/>
      <c r="R31" s="278"/>
      <c r="S31" s="278"/>
      <c r="T31" s="294"/>
      <c r="U31" s="294"/>
      <c r="V31" s="325"/>
      <c r="W31" s="325"/>
      <c r="X31" s="325"/>
      <c r="Y31" s="325"/>
      <c r="Z31" s="325"/>
      <c r="AA31" s="325"/>
      <c r="AB31" s="325" t="s">
        <v>234</v>
      </c>
      <c r="AC31" s="1930">
        <f>'Calculation (OLD)'!P84</f>
        <v>0</v>
      </c>
      <c r="AD31" s="1931"/>
      <c r="AE31" s="1931"/>
      <c r="AF31" s="1931"/>
      <c r="AG31" s="1932"/>
      <c r="AH31" s="586" t="s">
        <v>234</v>
      </c>
      <c r="AI31" s="1930">
        <f>'Calculation (OLD)'!S84</f>
        <v>0</v>
      </c>
      <c r="AJ31" s="1931"/>
      <c r="AK31" s="1931"/>
      <c r="AL31" s="1931"/>
      <c r="AM31" s="1932"/>
      <c r="AN31" s="295"/>
      <c r="AO31" s="450"/>
      <c r="AP31" s="450"/>
      <c r="AQ31" s="450"/>
      <c r="AR31" s="450"/>
      <c r="AS31" s="7"/>
      <c r="AT31" s="7"/>
      <c r="AU31" s="7"/>
      <c r="AV31" s="7"/>
      <c r="AW31" s="278"/>
    </row>
    <row r="32" spans="1:51" s="278" customFormat="1">
      <c r="B32" s="277"/>
      <c r="D32" s="296" t="s">
        <v>367</v>
      </c>
      <c r="F32" s="277"/>
      <c r="T32" s="294"/>
      <c r="U32" s="294"/>
      <c r="V32" s="325"/>
      <c r="W32" s="1829"/>
      <c r="X32" s="1829"/>
      <c r="Y32" s="1829"/>
      <c r="Z32" s="1829"/>
      <c r="AA32" s="1829"/>
      <c r="AB32" s="325" t="s">
        <v>234</v>
      </c>
      <c r="AC32" s="1837">
        <f>AC30+AC31</f>
        <v>28800</v>
      </c>
      <c r="AD32" s="1838"/>
      <c r="AE32" s="1838"/>
      <c r="AF32" s="1838"/>
      <c r="AG32" s="1839"/>
      <c r="AH32" s="325" t="s">
        <v>234</v>
      </c>
      <c r="AI32" s="1945">
        <f>AI30+AI31</f>
        <v>28800</v>
      </c>
      <c r="AJ32" s="1946"/>
      <c r="AK32" s="1946"/>
      <c r="AL32" s="1946"/>
      <c r="AM32" s="1947"/>
      <c r="AN32" s="295"/>
      <c r="AO32" s="451"/>
      <c r="AP32" s="451"/>
      <c r="AQ32" s="451"/>
      <c r="AR32" s="451"/>
      <c r="AS32" s="446"/>
      <c r="AT32" s="446"/>
      <c r="AU32" s="446"/>
      <c r="AV32" s="446"/>
    </row>
    <row r="33" spans="1:49" s="275" customFormat="1" ht="3.75" customHeight="1">
      <c r="B33" s="277"/>
      <c r="D33" s="364"/>
      <c r="E33" s="365"/>
      <c r="F33" s="365"/>
      <c r="G33" s="365"/>
      <c r="H33" s="365"/>
      <c r="I33" s="365"/>
      <c r="J33" s="365"/>
      <c r="K33" s="365"/>
      <c r="L33" s="365"/>
      <c r="M33" s="365"/>
      <c r="N33" s="365"/>
      <c r="O33" s="365"/>
      <c r="P33" s="365"/>
      <c r="Q33" s="365"/>
      <c r="R33" s="365"/>
      <c r="S33" s="365"/>
      <c r="T33" s="365"/>
      <c r="U33" s="294"/>
      <c r="V33" s="325"/>
      <c r="W33" s="325"/>
      <c r="X33" s="325"/>
      <c r="Y33" s="325"/>
      <c r="Z33" s="325"/>
      <c r="AA33" s="325"/>
      <c r="AB33" s="325"/>
      <c r="AC33" s="325"/>
      <c r="AD33" s="325"/>
      <c r="AE33" s="325"/>
      <c r="AF33" s="325"/>
      <c r="AG33" s="325"/>
      <c r="AH33" s="325"/>
      <c r="AI33" s="325"/>
      <c r="AJ33" s="325"/>
      <c r="AK33" s="325"/>
      <c r="AL33" s="325"/>
      <c r="AM33" s="325"/>
      <c r="AN33" s="295"/>
      <c r="AO33" s="451"/>
      <c r="AP33" s="451"/>
      <c r="AQ33" s="451"/>
      <c r="AR33" s="451"/>
      <c r="AS33" s="446"/>
      <c r="AT33" s="446"/>
      <c r="AU33" s="446"/>
      <c r="AV33" s="446"/>
      <c r="AW33" s="278"/>
    </row>
    <row r="34" spans="1:49" s="275" customFormat="1" ht="20.25" customHeight="1">
      <c r="B34" s="277"/>
      <c r="C34" s="277"/>
      <c r="D34" s="277" t="str">
        <f>'Calculation (OLD)'!D83</f>
        <v>Section 80CCD(1B) Invest in Nation Pension Scheme (Maximum up to 50000)</v>
      </c>
      <c r="E34" s="277"/>
      <c r="F34" s="277"/>
      <c r="G34" s="278"/>
      <c r="H34" s="278"/>
      <c r="I34" s="278"/>
      <c r="J34" s="278"/>
      <c r="K34" s="278"/>
      <c r="R34" s="278"/>
      <c r="S34" s="278"/>
      <c r="T34" s="294"/>
      <c r="U34" s="294"/>
      <c r="V34" s="325"/>
      <c r="W34" s="325"/>
      <c r="X34" s="325"/>
      <c r="Y34" s="325"/>
      <c r="Z34" s="325"/>
      <c r="AA34" s="325"/>
      <c r="AB34" s="325"/>
      <c r="AC34" s="1837">
        <f>'Calculation (OLD)'!P83</f>
        <v>0</v>
      </c>
      <c r="AD34" s="1838"/>
      <c r="AE34" s="1838"/>
      <c r="AF34" s="1838"/>
      <c r="AG34" s="1839"/>
      <c r="AH34" s="325"/>
      <c r="AI34" s="1837">
        <f>'Calculation (OLD)'!S83</f>
        <v>0</v>
      </c>
      <c r="AJ34" s="1838"/>
      <c r="AK34" s="1838"/>
      <c r="AL34" s="1838"/>
      <c r="AM34" s="1839"/>
      <c r="AN34" s="295"/>
      <c r="AO34" s="450"/>
      <c r="AP34" s="450"/>
      <c r="AQ34" s="450"/>
      <c r="AR34" s="450"/>
      <c r="AS34" s="7"/>
      <c r="AT34" s="7"/>
      <c r="AU34" s="7"/>
      <c r="AV34" s="7"/>
      <c r="AW34" s="278"/>
    </row>
    <row r="35" spans="1:49" s="275" customFormat="1" ht="3.75" customHeight="1">
      <c r="B35" s="277"/>
      <c r="D35" s="364"/>
      <c r="E35" s="365"/>
      <c r="F35" s="365"/>
      <c r="G35" s="365"/>
      <c r="H35" s="365"/>
      <c r="I35" s="365"/>
      <c r="J35" s="365"/>
      <c r="K35" s="365"/>
      <c r="L35" s="365"/>
      <c r="M35" s="365"/>
      <c r="N35" s="365"/>
      <c r="O35" s="365"/>
      <c r="P35" s="365"/>
      <c r="Q35" s="365"/>
      <c r="R35" s="365"/>
      <c r="S35" s="365"/>
      <c r="T35" s="365"/>
      <c r="U35" s="294"/>
      <c r="V35" s="325"/>
      <c r="W35" s="325"/>
      <c r="X35" s="325"/>
      <c r="Y35" s="325"/>
      <c r="Z35" s="325"/>
      <c r="AA35" s="325"/>
      <c r="AB35" s="325"/>
      <c r="AC35" s="325"/>
      <c r="AD35" s="325"/>
      <c r="AE35" s="325"/>
      <c r="AF35" s="325"/>
      <c r="AG35" s="325"/>
      <c r="AH35" s="325"/>
      <c r="AI35" s="325"/>
      <c r="AJ35" s="325"/>
      <c r="AK35" s="325"/>
      <c r="AL35" s="325"/>
      <c r="AM35" s="325"/>
      <c r="AN35" s="295"/>
      <c r="AO35" s="451"/>
      <c r="AP35" s="451"/>
      <c r="AQ35" s="451"/>
      <c r="AR35" s="451"/>
      <c r="AS35" s="446"/>
      <c r="AT35" s="446"/>
      <c r="AU35" s="446"/>
      <c r="AV35" s="446"/>
      <c r="AW35" s="278"/>
    </row>
    <row r="36" spans="1:49" s="275" customFormat="1" ht="15" customHeight="1">
      <c r="B36" s="277"/>
      <c r="D36" s="296" t="str">
        <f>CONCATENATE("Section 80D, 80DD, 80DB, 80DU",'Other than Salary Income'!D87,'Other than Salary Income'!D91,'Other than Salary Income'!D92,'Other than Salary Income'!D93)</f>
        <v>Section 80D, 80DD, 80DB, 80DUU/S 80-DU/S 80-DDU/S 80-DDBU/S 80-U</v>
      </c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77"/>
      <c r="Q36" s="277"/>
      <c r="R36" s="277"/>
      <c r="S36" s="277"/>
      <c r="T36" s="277"/>
      <c r="U36" s="277"/>
      <c r="V36" s="277"/>
      <c r="W36" s="277"/>
      <c r="X36" s="277"/>
      <c r="Y36" s="277"/>
      <c r="Z36" s="277"/>
      <c r="AA36" s="277"/>
      <c r="AB36" s="325" t="s">
        <v>234</v>
      </c>
      <c r="AC36" s="1936">
        <f>'Calculation (OLD)'!P51+'Calculation (OLD)'!P52+'Calculation (OLD)'!P53+'Calculation (OLD)'!P54+'Calculation (OLD)'!P55</f>
        <v>0</v>
      </c>
      <c r="AD36" s="1937"/>
      <c r="AE36" s="1937"/>
      <c r="AF36" s="1937"/>
      <c r="AG36" s="1938"/>
      <c r="AH36" s="325" t="s">
        <v>234</v>
      </c>
      <c r="AI36" s="1936">
        <f>'Calculation (OLD)'!S51+'Calculation (OLD)'!S52+'Calculation (OLD)'!S53+'Calculation (OLD)'!S54+'Calculation (OLD)'!S55</f>
        <v>0</v>
      </c>
      <c r="AJ36" s="1937"/>
      <c r="AK36" s="1937"/>
      <c r="AL36" s="1937"/>
      <c r="AM36" s="1938"/>
      <c r="AN36" s="295"/>
      <c r="AO36" s="450"/>
      <c r="AP36" s="450"/>
      <c r="AQ36" s="450"/>
      <c r="AR36" s="450"/>
      <c r="AS36" s="7"/>
      <c r="AT36" s="7"/>
      <c r="AU36" s="7"/>
      <c r="AV36" s="7"/>
      <c r="AW36" s="278"/>
    </row>
    <row r="37" spans="1:49" s="275" customFormat="1" ht="3.75" customHeight="1">
      <c r="B37" s="277"/>
      <c r="D37" s="364"/>
      <c r="E37" s="365"/>
      <c r="F37" s="365"/>
      <c r="G37" s="365"/>
      <c r="H37" s="365"/>
      <c r="I37" s="365"/>
      <c r="J37" s="365"/>
      <c r="K37" s="365"/>
      <c r="L37" s="365"/>
      <c r="M37" s="365"/>
      <c r="N37" s="365"/>
      <c r="O37" s="365"/>
      <c r="P37" s="365"/>
      <c r="Q37" s="365"/>
      <c r="R37" s="365"/>
      <c r="S37" s="365"/>
      <c r="T37" s="365"/>
      <c r="U37" s="294"/>
      <c r="V37" s="325"/>
      <c r="W37" s="325"/>
      <c r="X37" s="325"/>
      <c r="Y37" s="325"/>
      <c r="Z37" s="325"/>
      <c r="AA37" s="325"/>
      <c r="AB37" s="325"/>
      <c r="AC37" s="325"/>
      <c r="AD37" s="325"/>
      <c r="AE37" s="325"/>
      <c r="AF37" s="325"/>
      <c r="AG37" s="325"/>
      <c r="AH37" s="325"/>
      <c r="AI37" s="325"/>
      <c r="AJ37" s="325"/>
      <c r="AK37" s="325"/>
      <c r="AL37" s="325"/>
      <c r="AM37" s="325"/>
      <c r="AN37" s="295"/>
      <c r="AO37" s="451"/>
      <c r="AP37" s="451"/>
      <c r="AQ37" s="451"/>
      <c r="AR37" s="451"/>
      <c r="AS37" s="446"/>
      <c r="AT37" s="446"/>
      <c r="AU37" s="446"/>
      <c r="AV37" s="446"/>
      <c r="AW37" s="278"/>
    </row>
    <row r="38" spans="1:49" s="275" customFormat="1" ht="20.25" customHeight="1">
      <c r="B38" s="277"/>
      <c r="C38" s="340" t="s">
        <v>268</v>
      </c>
      <c r="D38" s="296" t="s">
        <v>269</v>
      </c>
      <c r="E38" s="277"/>
      <c r="F38" s="277"/>
      <c r="G38" s="278"/>
      <c r="H38" s="278"/>
      <c r="I38" s="278"/>
      <c r="J38" s="278"/>
      <c r="K38" s="278"/>
      <c r="R38" s="278"/>
      <c r="S38" s="278"/>
      <c r="T38" s="294"/>
      <c r="U38" s="294"/>
      <c r="V38" s="356" t="s">
        <v>264</v>
      </c>
      <c r="W38" s="357"/>
      <c r="X38" s="357"/>
      <c r="Y38" s="357"/>
      <c r="Z38" s="357"/>
      <c r="AA38" s="358"/>
      <c r="AB38" s="356" t="s">
        <v>288</v>
      </c>
      <c r="AC38" s="357"/>
      <c r="AD38" s="357"/>
      <c r="AE38" s="357"/>
      <c r="AF38" s="357"/>
      <c r="AG38" s="358"/>
      <c r="AH38" s="356" t="s">
        <v>265</v>
      </c>
      <c r="AI38" s="359"/>
      <c r="AJ38" s="359"/>
      <c r="AK38" s="359"/>
      <c r="AL38" s="359"/>
      <c r="AM38" s="360"/>
      <c r="AN38" s="295"/>
      <c r="AO38" s="450"/>
      <c r="AP38" s="450"/>
      <c r="AQ38" s="450"/>
      <c r="AR38" s="450"/>
      <c r="AS38" s="7"/>
      <c r="AT38" s="7"/>
      <c r="AU38" s="7"/>
      <c r="AV38" s="7"/>
      <c r="AW38" s="278"/>
    </row>
    <row r="39" spans="1:49" s="275" customFormat="1" ht="20.25" customHeight="1">
      <c r="B39" s="277"/>
      <c r="C39" s="277" t="s">
        <v>101</v>
      </c>
      <c r="D39" s="277" t="s">
        <v>270</v>
      </c>
      <c r="E39" s="277"/>
      <c r="F39" s="277"/>
      <c r="G39" s="278"/>
      <c r="H39" s="278"/>
      <c r="I39" s="278"/>
      <c r="J39" s="278"/>
      <c r="K39" s="278"/>
      <c r="R39" s="278"/>
      <c r="S39" s="278"/>
      <c r="T39" s="294"/>
      <c r="U39" s="294"/>
      <c r="V39" s="325" t="s">
        <v>234</v>
      </c>
      <c r="W39" s="1837">
        <f>'Investment - Deduction'!U55</f>
        <v>0</v>
      </c>
      <c r="X39" s="1838"/>
      <c r="Y39" s="1838"/>
      <c r="Z39" s="1838"/>
      <c r="AA39" s="1839"/>
      <c r="AB39" s="325" t="s">
        <v>234</v>
      </c>
      <c r="AC39" s="1837">
        <f>W39</f>
        <v>0</v>
      </c>
      <c r="AD39" s="1838"/>
      <c r="AE39" s="1838"/>
      <c r="AF39" s="1838"/>
      <c r="AG39" s="1839"/>
      <c r="AH39" s="325" t="s">
        <v>234</v>
      </c>
      <c r="AI39" s="1837">
        <f>AC39</f>
        <v>0</v>
      </c>
      <c r="AJ39" s="1838"/>
      <c r="AK39" s="1838"/>
      <c r="AL39" s="1838"/>
      <c r="AM39" s="1839"/>
      <c r="AN39" s="295"/>
      <c r="AO39" s="451"/>
      <c r="AP39" s="451"/>
      <c r="AQ39" s="451"/>
      <c r="AR39" s="451"/>
      <c r="AS39" s="446"/>
      <c r="AT39" s="446"/>
      <c r="AU39" s="446"/>
      <c r="AV39" s="446"/>
      <c r="AW39" s="278"/>
    </row>
    <row r="40" spans="1:49" s="275" customFormat="1" ht="20.25" customHeight="1">
      <c r="B40" s="277"/>
      <c r="C40" s="277" t="s">
        <v>68</v>
      </c>
      <c r="D40" s="277" t="s">
        <v>271</v>
      </c>
      <c r="E40" s="277"/>
      <c r="F40" s="277"/>
      <c r="G40" s="278"/>
      <c r="H40" s="278"/>
      <c r="I40" s="278"/>
      <c r="J40" s="278"/>
      <c r="K40" s="278"/>
      <c r="R40" s="278"/>
      <c r="S40" s="278"/>
      <c r="T40" s="294"/>
      <c r="U40" s="294"/>
      <c r="V40" s="325" t="s">
        <v>234</v>
      </c>
      <c r="W40" s="1933">
        <f>'Investment - Deduction'!U56</f>
        <v>0</v>
      </c>
      <c r="X40" s="1934"/>
      <c r="Y40" s="1934"/>
      <c r="Z40" s="1934"/>
      <c r="AA40" s="1935"/>
      <c r="AB40" s="325" t="s">
        <v>234</v>
      </c>
      <c r="AC40" s="1933">
        <f>'Investment - Deduction'!M56</f>
        <v>0</v>
      </c>
      <c r="AD40" s="1934"/>
      <c r="AE40" s="1934"/>
      <c r="AF40" s="1934"/>
      <c r="AG40" s="1935"/>
      <c r="AH40" s="325" t="s">
        <v>234</v>
      </c>
      <c r="AI40" s="1933">
        <f>AC40</f>
        <v>0</v>
      </c>
      <c r="AJ40" s="1934"/>
      <c r="AK40" s="1934"/>
      <c r="AL40" s="1934"/>
      <c r="AM40" s="1935"/>
      <c r="AN40" s="295"/>
      <c r="AO40" s="450"/>
      <c r="AP40" s="450"/>
      <c r="AQ40" s="450"/>
      <c r="AR40" s="450"/>
      <c r="AS40" s="7"/>
      <c r="AT40" s="7"/>
      <c r="AU40" s="7"/>
      <c r="AV40" s="7"/>
      <c r="AW40" s="278"/>
    </row>
    <row r="41" spans="1:49" s="275" customFormat="1" ht="20.25" customHeight="1">
      <c r="B41" s="277"/>
      <c r="C41" s="277" t="s">
        <v>274</v>
      </c>
      <c r="D41" s="277" t="s">
        <v>496</v>
      </c>
      <c r="E41" s="277"/>
      <c r="F41" s="277"/>
      <c r="G41" s="278"/>
      <c r="H41" s="278"/>
      <c r="I41" s="278"/>
      <c r="J41" s="278"/>
      <c r="K41" s="278"/>
      <c r="R41" s="278"/>
      <c r="S41" s="278"/>
      <c r="T41" s="294"/>
      <c r="U41" s="294"/>
      <c r="V41" s="325" t="s">
        <v>234</v>
      </c>
      <c r="W41" s="1837">
        <f>'Investment - Deduction'!U57+'Investment - Deduction'!U58+'Investment - Deduction'!U59</f>
        <v>0</v>
      </c>
      <c r="X41" s="1838"/>
      <c r="Y41" s="1838"/>
      <c r="Z41" s="1838"/>
      <c r="AA41" s="1839"/>
      <c r="AB41" s="325" t="s">
        <v>234</v>
      </c>
      <c r="AC41" s="1837">
        <f>'Investment - Deduction'!M57+'Investment - Deduction'!M58+'Investment - Deduction'!M59</f>
        <v>0</v>
      </c>
      <c r="AD41" s="1838"/>
      <c r="AE41" s="1838"/>
      <c r="AF41" s="1838"/>
      <c r="AG41" s="1839"/>
      <c r="AH41" s="325" t="s">
        <v>234</v>
      </c>
      <c r="AI41" s="1837">
        <f>AC41</f>
        <v>0</v>
      </c>
      <c r="AJ41" s="1838"/>
      <c r="AK41" s="1838"/>
      <c r="AL41" s="1838"/>
      <c r="AM41" s="1839"/>
      <c r="AN41" s="295"/>
      <c r="AO41" s="451"/>
      <c r="AP41" s="451"/>
      <c r="AQ41" s="451"/>
      <c r="AR41" s="451"/>
      <c r="AS41" s="446"/>
      <c r="AT41" s="446"/>
      <c r="AU41" s="446"/>
      <c r="AV41" s="446"/>
      <c r="AW41" s="278"/>
    </row>
    <row r="42" spans="1:49" s="275" customFormat="1" ht="20.25" customHeight="1">
      <c r="B42" s="277"/>
      <c r="C42" s="277" t="s">
        <v>275</v>
      </c>
      <c r="D42" s="277" t="s">
        <v>272</v>
      </c>
      <c r="E42" s="277"/>
      <c r="F42" s="277"/>
      <c r="G42" s="278"/>
      <c r="H42" s="278"/>
      <c r="I42" s="278"/>
      <c r="J42" s="278"/>
      <c r="K42" s="278"/>
      <c r="R42" s="278"/>
      <c r="S42" s="278"/>
      <c r="T42" s="294"/>
      <c r="U42" s="294"/>
      <c r="V42" s="325" t="s">
        <v>234</v>
      </c>
      <c r="W42" s="1837">
        <f>'Investment - Deduction'!U61</f>
        <v>0</v>
      </c>
      <c r="X42" s="1838"/>
      <c r="Y42" s="1838"/>
      <c r="Z42" s="1838"/>
      <c r="AA42" s="1839"/>
      <c r="AB42" s="325" t="s">
        <v>234</v>
      </c>
      <c r="AC42" s="1837">
        <f>'Calculation (OLD)'!S57</f>
        <v>0</v>
      </c>
      <c r="AD42" s="1838"/>
      <c r="AE42" s="1838"/>
      <c r="AF42" s="1838"/>
      <c r="AG42" s="1839"/>
      <c r="AH42" s="325" t="s">
        <v>234</v>
      </c>
      <c r="AI42" s="1837">
        <f>AC42</f>
        <v>0</v>
      </c>
      <c r="AJ42" s="1838"/>
      <c r="AK42" s="1838"/>
      <c r="AL42" s="1838"/>
      <c r="AM42" s="1839"/>
      <c r="AN42" s="295"/>
      <c r="AO42" s="450"/>
      <c r="AP42" s="450"/>
      <c r="AQ42" s="450"/>
      <c r="AR42" s="450"/>
      <c r="AS42" s="7"/>
      <c r="AT42" s="7"/>
      <c r="AU42" s="7"/>
      <c r="AV42" s="7"/>
      <c r="AW42" s="278"/>
    </row>
    <row r="43" spans="1:49" s="275" customFormat="1" ht="20.25" customHeight="1">
      <c r="B43" s="277"/>
      <c r="C43" s="277" t="s">
        <v>276</v>
      </c>
      <c r="D43" s="277" t="s">
        <v>273</v>
      </c>
      <c r="E43" s="277"/>
      <c r="F43" s="277"/>
      <c r="G43" s="278"/>
      <c r="H43" s="278"/>
      <c r="I43" s="278"/>
      <c r="J43" s="278"/>
      <c r="K43" s="278"/>
      <c r="R43" s="278"/>
      <c r="S43" s="278"/>
      <c r="T43" s="294"/>
      <c r="U43" s="294"/>
      <c r="V43" s="325" t="s">
        <v>234</v>
      </c>
      <c r="W43" s="1837">
        <f>'Investment - Deduction'!U62</f>
        <v>0</v>
      </c>
      <c r="X43" s="1838"/>
      <c r="Y43" s="1838"/>
      <c r="Z43" s="1838"/>
      <c r="AA43" s="1839"/>
      <c r="AB43" s="325" t="s">
        <v>234</v>
      </c>
      <c r="AC43" s="1837">
        <f>'Calculation (OLD)'!S58</f>
        <v>0</v>
      </c>
      <c r="AD43" s="1838"/>
      <c r="AE43" s="1838"/>
      <c r="AF43" s="1838"/>
      <c r="AG43" s="1839"/>
      <c r="AH43" s="325" t="s">
        <v>234</v>
      </c>
      <c r="AI43" s="1837">
        <f>AC43</f>
        <v>0</v>
      </c>
      <c r="AJ43" s="1838"/>
      <c r="AK43" s="1838"/>
      <c r="AL43" s="1838"/>
      <c r="AM43" s="1839"/>
      <c r="AN43" s="295"/>
      <c r="AO43" s="451"/>
      <c r="AP43" s="451"/>
      <c r="AQ43" s="451"/>
      <c r="AR43" s="451"/>
      <c r="AS43" s="446"/>
      <c r="AT43" s="446"/>
      <c r="AU43" s="446"/>
      <c r="AV43" s="446"/>
      <c r="AW43" s="278"/>
    </row>
    <row r="44" spans="1:49" s="275" customFormat="1" ht="6.75" customHeight="1">
      <c r="A44" s="277"/>
      <c r="B44" s="293"/>
      <c r="C44" s="293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  <c r="V44" s="277"/>
      <c r="W44" s="278"/>
      <c r="X44" s="277"/>
      <c r="Y44" s="277"/>
      <c r="Z44" s="277"/>
      <c r="AA44" s="277"/>
      <c r="AB44" s="277"/>
      <c r="AC44" s="277"/>
      <c r="AD44" s="278"/>
      <c r="AE44" s="277"/>
      <c r="AF44" s="277"/>
      <c r="AG44" s="277"/>
      <c r="AH44" s="277"/>
      <c r="AI44" s="277"/>
      <c r="AJ44" s="277"/>
      <c r="AK44" s="278"/>
      <c r="AL44" s="295"/>
      <c r="AM44" s="278"/>
      <c r="AN44" s="295"/>
      <c r="AO44" s="450"/>
      <c r="AP44" s="450"/>
      <c r="AQ44" s="450"/>
      <c r="AR44" s="450"/>
      <c r="AS44" s="452"/>
      <c r="AT44" s="453"/>
      <c r="AU44" s="454"/>
      <c r="AV44" s="454"/>
    </row>
    <row r="45" spans="1:49" s="275" customFormat="1" ht="20.25" customHeight="1">
      <c r="B45" s="276" t="s">
        <v>277</v>
      </c>
      <c r="C45" s="277" t="s">
        <v>278</v>
      </c>
      <c r="D45" s="277"/>
      <c r="E45" s="277"/>
      <c r="F45" s="277"/>
      <c r="G45" s="278"/>
      <c r="H45" s="278"/>
      <c r="I45" s="278"/>
      <c r="J45" s="278"/>
      <c r="K45" s="278"/>
      <c r="R45" s="278"/>
      <c r="S45" s="278"/>
      <c r="T45" s="294"/>
      <c r="U45" s="294"/>
      <c r="V45" s="294"/>
      <c r="W45" s="294"/>
      <c r="X45" s="278"/>
      <c r="Y45" s="278"/>
      <c r="Z45" s="472"/>
      <c r="AA45" s="472"/>
      <c r="AB45" s="472"/>
      <c r="AC45" s="472"/>
      <c r="AD45" s="472"/>
      <c r="AE45" s="472"/>
      <c r="AF45" s="472"/>
      <c r="AG45" s="472"/>
      <c r="AH45" s="325" t="s">
        <v>234</v>
      </c>
      <c r="AI45" s="1942">
        <f>AI32+AI34+AI36+AI39+AI40+AI41+AI42+AI43</f>
        <v>28800</v>
      </c>
      <c r="AJ45" s="1943"/>
      <c r="AK45" s="1943"/>
      <c r="AL45" s="1943"/>
      <c r="AM45" s="1944"/>
      <c r="AN45" s="295"/>
      <c r="AO45" s="450"/>
      <c r="AP45" s="450"/>
      <c r="AQ45" s="450"/>
      <c r="AR45" s="450"/>
      <c r="AS45" s="455"/>
      <c r="AT45" s="455"/>
      <c r="AU45" s="7"/>
      <c r="AV45" s="7"/>
      <c r="AW45" s="278"/>
    </row>
    <row r="46" spans="1:49" s="275" customFormat="1" ht="5.25" customHeight="1">
      <c r="A46" s="277"/>
      <c r="B46" s="293"/>
      <c r="C46" s="473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  <c r="V46" s="277"/>
      <c r="W46" s="278"/>
      <c r="X46" s="277"/>
      <c r="Y46" s="277"/>
      <c r="Z46" s="277"/>
      <c r="AA46" s="277"/>
      <c r="AB46" s="277"/>
      <c r="AC46" s="277"/>
      <c r="AD46" s="278"/>
      <c r="AE46" s="277"/>
      <c r="AF46" s="277"/>
      <c r="AG46" s="277"/>
      <c r="AH46" s="277"/>
      <c r="AI46" s="277"/>
      <c r="AJ46" s="277"/>
      <c r="AK46" s="278"/>
      <c r="AL46" s="295"/>
      <c r="AM46" s="278"/>
      <c r="AN46" s="295"/>
      <c r="AO46" s="451"/>
      <c r="AP46" s="451"/>
      <c r="AQ46" s="451"/>
      <c r="AR46" s="451"/>
      <c r="AS46" s="452"/>
      <c r="AT46" s="453"/>
      <c r="AU46" s="454"/>
      <c r="AV46" s="454"/>
    </row>
    <row r="47" spans="1:49" s="275" customFormat="1" ht="21.95" customHeight="1">
      <c r="B47" s="341">
        <v>11</v>
      </c>
      <c r="C47" s="277" t="s">
        <v>279</v>
      </c>
      <c r="D47" s="296"/>
      <c r="E47" s="296"/>
      <c r="F47" s="296"/>
      <c r="G47" s="296"/>
      <c r="H47" s="296"/>
      <c r="I47" s="296"/>
      <c r="J47" s="296" t="s">
        <v>294</v>
      </c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474">
        <f>AN32+'FORM 16_2 (OLD)'!AI6+'FORM 16_2 (OLD)'!AI7+'FORM 16_2 (OLD)'!AI8</f>
        <v>24000</v>
      </c>
      <c r="AD47" s="296"/>
      <c r="AE47" s="296"/>
      <c r="AF47" s="296"/>
      <c r="AH47" s="325" t="s">
        <v>234</v>
      </c>
      <c r="AI47" s="1942">
        <f>ROUND('FORM 16_1 (OLD)'!AI101-'FORM 16_2 (OLD)'!AI45,-1)</f>
        <v>816720</v>
      </c>
      <c r="AJ47" s="1943"/>
      <c r="AK47" s="1943"/>
      <c r="AL47" s="1943"/>
      <c r="AM47" s="1944"/>
      <c r="AN47" s="296"/>
      <c r="AO47" s="456"/>
      <c r="AP47" s="450">
        <f>IF(AND(AL2="M",AI47&lt;=180000),0,IF(AND(AL2="F",AI47&lt;=190000),0,IF(AND(AL2="M",AI47&lt;=500000),ROUND((AI47-160000)*10%,0),IF(AND(AL2="F",AI47&lt;=500000),ROUND((AI47-190000)*10%,0),IF(AND(AL2="M",AI47&lt;=800000),34000+ROUND((AI47-500000)*20%,0),IF(AND(AL2="F",AI47&lt;=800000),31000+ROUND((AI47-500000)*20%,0),IF(AND(AL2="M",AI47&gt;=800000),94000+ROUND((AI47-800000)*30%,0),91000+ROUND((AI47-800000)*30%,0))))))))</f>
        <v>96016</v>
      </c>
      <c r="AQ47" s="450"/>
      <c r="AR47" s="450"/>
      <c r="AS47" s="450"/>
      <c r="AT47" s="450"/>
      <c r="AU47" s="7"/>
      <c r="AV47" s="7"/>
      <c r="AW47" s="278"/>
    </row>
    <row r="48" spans="1:49" s="275" customFormat="1">
      <c r="A48" s="297"/>
      <c r="B48" s="341">
        <v>12</v>
      </c>
      <c r="C48" s="296" t="s">
        <v>410</v>
      </c>
      <c r="D48" s="277"/>
      <c r="E48" s="297"/>
      <c r="F48" s="297"/>
      <c r="G48" s="297"/>
      <c r="H48" s="297"/>
      <c r="I48" s="277"/>
      <c r="J48" s="277"/>
      <c r="K48" s="277"/>
      <c r="L48" s="297"/>
      <c r="M48" s="297"/>
      <c r="N48" s="297"/>
      <c r="O48" s="297"/>
      <c r="P48" s="277"/>
      <c r="Q48" s="277"/>
      <c r="R48" s="277"/>
      <c r="S48" s="297"/>
      <c r="T48" s="297"/>
      <c r="U48" s="297"/>
      <c r="V48" s="297"/>
      <c r="W48" s="278"/>
      <c r="X48" s="277"/>
      <c r="Y48" s="277"/>
      <c r="Z48" s="277"/>
      <c r="AA48" s="297"/>
      <c r="AB48" s="295"/>
      <c r="AC48" s="295"/>
      <c r="AD48" s="295"/>
      <c r="AE48" s="295"/>
      <c r="AF48" s="295"/>
      <c r="AG48" s="278"/>
      <c r="AH48" s="325" t="s">
        <v>234</v>
      </c>
      <c r="AI48" s="1840">
        <f>IF(AND('Master Deails'!B5=5,AI47&lt;=250000),0,IF(AND('Master Deails'!B5=6,AI47&lt;=300000),0,IF(AND('Master Deails'!B5=5,AI47&lt;=500000),ROUND((AI47-250000)*5%,0),IF(AND('Master Deails'!B5=6,AI47&lt;=500000),ROUND((AI47-300000)*5%,0),IF(AND('Master Deails'!B5=5,AI47&lt;=1000000),12500+ROUND((AI47-500000)*20%,0),IF(AND('Master Deails'!B5=6,AI47&lt;=1000000),10000+ROUND((AI47-500000)*20%,0),IF(AND('Master Deails'!B5=5,AI47&gt;=1000000),112500+ROUND((AI47-1000000)*30%,0),110000+ROUND((AI47-1000000)*30%,0))))))))</f>
        <v>75844</v>
      </c>
      <c r="AJ48" s="1841"/>
      <c r="AK48" s="1841"/>
      <c r="AL48" s="1841"/>
      <c r="AM48" s="1842"/>
      <c r="AN48" s="278"/>
      <c r="AO48" s="457"/>
      <c r="AP48" s="451" t="s">
        <v>334</v>
      </c>
      <c r="AQ48" s="451"/>
      <c r="AR48" s="451"/>
      <c r="AS48" s="452"/>
      <c r="AT48" s="453"/>
      <c r="AU48" s="454"/>
      <c r="AV48" s="454"/>
    </row>
    <row r="49" spans="1:48" s="275" customFormat="1">
      <c r="A49" s="297"/>
      <c r="B49" s="341"/>
      <c r="D49" s="277"/>
      <c r="E49" s="277" t="str">
        <f>'Calculation (OLD)'!M100</f>
        <v>Less: Rebate on Agricultural Income</v>
      </c>
      <c r="F49" s="297"/>
      <c r="G49" s="297"/>
      <c r="H49" s="297"/>
      <c r="I49" s="277"/>
      <c r="J49" s="277"/>
      <c r="K49" s="277"/>
      <c r="L49" s="297"/>
      <c r="M49" s="297"/>
      <c r="N49" s="297"/>
      <c r="O49" s="297"/>
      <c r="P49" s="277"/>
      <c r="Q49" s="277"/>
      <c r="R49" s="277"/>
      <c r="S49" s="297"/>
      <c r="T49" s="297"/>
      <c r="U49" s="297"/>
      <c r="V49" s="297"/>
      <c r="W49" s="278"/>
      <c r="X49" s="277"/>
      <c r="Y49" s="277"/>
      <c r="Z49" s="277"/>
      <c r="AA49" s="297"/>
      <c r="AB49" s="295"/>
      <c r="AC49" s="295"/>
      <c r="AD49" s="295"/>
      <c r="AE49" s="295"/>
      <c r="AF49" s="295"/>
      <c r="AG49" s="278"/>
      <c r="AH49" s="325" t="s">
        <v>234</v>
      </c>
      <c r="AI49" s="1954">
        <f>'Calculation (OLD)'!V100</f>
        <v>0</v>
      </c>
      <c r="AJ49" s="1858"/>
      <c r="AK49" s="1858"/>
      <c r="AL49" s="1858"/>
      <c r="AM49" s="1859"/>
      <c r="AN49" s="278"/>
      <c r="AO49" s="457"/>
      <c r="AP49" s="451"/>
      <c r="AQ49" s="451"/>
      <c r="AR49" s="451"/>
      <c r="AS49" s="452"/>
      <c r="AT49" s="453"/>
      <c r="AU49" s="454"/>
      <c r="AV49" s="454"/>
    </row>
    <row r="50" spans="1:48" s="275" customFormat="1" hidden="1">
      <c r="A50" s="297"/>
      <c r="B50" s="341"/>
      <c r="D50" s="277"/>
      <c r="E50" s="277"/>
      <c r="F50" s="297"/>
      <c r="G50" s="297"/>
      <c r="H50" s="297"/>
      <c r="I50" s="277"/>
      <c r="J50" s="277"/>
      <c r="K50" s="277"/>
      <c r="L50" s="297"/>
      <c r="M50" s="297"/>
      <c r="N50" s="297"/>
      <c r="O50" s="297"/>
      <c r="P50" s="277"/>
      <c r="Q50" s="277"/>
      <c r="R50" s="277"/>
      <c r="S50" s="297"/>
      <c r="T50" s="297"/>
      <c r="U50" s="297"/>
      <c r="V50" s="297"/>
      <c r="W50" s="278"/>
      <c r="X50" s="277"/>
      <c r="Y50" s="277"/>
      <c r="Z50" s="277"/>
      <c r="AA50" s="297"/>
      <c r="AB50" s="295"/>
      <c r="AC50" s="295"/>
      <c r="AD50" s="295"/>
      <c r="AE50" s="295"/>
      <c r="AF50" s="295"/>
      <c r="AG50" s="278"/>
      <c r="AH50" s="325" t="s">
        <v>234</v>
      </c>
      <c r="AI50" s="1954">
        <f>'Calculation (OLD)'!V102</f>
        <v>0</v>
      </c>
      <c r="AJ50" s="1858"/>
      <c r="AK50" s="1858"/>
      <c r="AL50" s="1858"/>
      <c r="AM50" s="1859"/>
      <c r="AN50" s="278"/>
      <c r="AO50" s="457"/>
      <c r="AP50" s="451"/>
      <c r="AQ50" s="451"/>
      <c r="AR50" s="451"/>
      <c r="AS50" s="452"/>
      <c r="AT50" s="453"/>
      <c r="AU50" s="454"/>
      <c r="AV50" s="454"/>
    </row>
    <row r="51" spans="1:48" s="275" customFormat="1">
      <c r="A51" s="297"/>
      <c r="B51" s="341"/>
      <c r="D51" s="277"/>
      <c r="E51" s="277" t="str">
        <f>'Calculation (OLD)'!C101</f>
        <v>Less: Tax Credit (Available only to assessees having total taxable income upto Rs. 5 lacs) u/s 87A</v>
      </c>
      <c r="F51" s="297"/>
      <c r="G51" s="297"/>
      <c r="H51" s="297"/>
      <c r="I51" s="277"/>
      <c r="J51" s="277"/>
      <c r="K51" s="277"/>
      <c r="L51" s="297"/>
      <c r="M51" s="297"/>
      <c r="N51" s="297"/>
      <c r="O51" s="297"/>
      <c r="P51" s="277"/>
      <c r="Q51" s="277"/>
      <c r="R51" s="277"/>
      <c r="S51" s="297"/>
      <c r="T51" s="297"/>
      <c r="U51" s="297"/>
      <c r="V51" s="297"/>
      <c r="W51" s="278"/>
      <c r="X51" s="277"/>
      <c r="Y51" s="277"/>
      <c r="Z51" s="277"/>
      <c r="AA51" s="297"/>
      <c r="AB51" s="295"/>
      <c r="AC51" s="295"/>
      <c r="AD51" s="295"/>
      <c r="AE51" s="295"/>
      <c r="AF51" s="295"/>
      <c r="AG51" s="278"/>
      <c r="AH51" s="325" t="s">
        <v>234</v>
      </c>
      <c r="AI51" s="1857">
        <f>'Calculation (OLD)'!V101</f>
        <v>0</v>
      </c>
      <c r="AJ51" s="1858"/>
      <c r="AK51" s="1858"/>
      <c r="AL51" s="1858"/>
      <c r="AM51" s="1859"/>
      <c r="AN51" s="278"/>
      <c r="AO51" s="457"/>
      <c r="AP51" s="451"/>
      <c r="AQ51" s="451"/>
      <c r="AR51" s="451"/>
      <c r="AS51" s="452"/>
      <c r="AT51" s="453"/>
      <c r="AU51" s="454"/>
      <c r="AV51" s="454"/>
    </row>
    <row r="52" spans="1:48" s="275" customFormat="1">
      <c r="A52" s="297"/>
      <c r="B52" s="341">
        <v>13</v>
      </c>
      <c r="C52" s="296" t="str">
        <f>'Calculation (OLD)'!D103</f>
        <v>After Rebate Payable Income Tax Amount</v>
      </c>
      <c r="D52" s="277"/>
      <c r="E52" s="297"/>
      <c r="F52" s="297"/>
      <c r="G52" s="297"/>
      <c r="H52" s="297"/>
      <c r="I52" s="277"/>
      <c r="J52" s="277"/>
      <c r="K52" s="277"/>
      <c r="L52" s="297"/>
      <c r="M52" s="297"/>
      <c r="N52" s="297"/>
      <c r="O52" s="297"/>
      <c r="P52" s="277"/>
      <c r="Q52" s="277"/>
      <c r="R52" s="277"/>
      <c r="S52" s="297"/>
      <c r="T52" s="297"/>
      <c r="U52" s="297"/>
      <c r="V52" s="297"/>
      <c r="W52" s="278"/>
      <c r="X52" s="277"/>
      <c r="Y52" s="277"/>
      <c r="Z52" s="277"/>
      <c r="AA52" s="297"/>
      <c r="AB52" s="295"/>
      <c r="AC52" s="295"/>
      <c r="AD52" s="295"/>
      <c r="AE52" s="295"/>
      <c r="AF52" s="295"/>
      <c r="AG52" s="278"/>
      <c r="AH52" s="325" t="s">
        <v>234</v>
      </c>
      <c r="AI52" s="1951">
        <f>'Calculation (OLD)'!V103</f>
        <v>68844</v>
      </c>
      <c r="AJ52" s="1952"/>
      <c r="AK52" s="1952"/>
      <c r="AL52" s="1952"/>
      <c r="AM52" s="1953"/>
      <c r="AN52" s="278"/>
      <c r="AO52" s="457"/>
      <c r="AP52" s="451"/>
      <c r="AQ52" s="451"/>
      <c r="AR52" s="451"/>
      <c r="AS52" s="452"/>
      <c r="AT52" s="453"/>
      <c r="AU52" s="454"/>
      <c r="AV52" s="454"/>
    </row>
    <row r="53" spans="1:48" s="275" customFormat="1">
      <c r="A53" s="297"/>
      <c r="B53" s="341">
        <v>14</v>
      </c>
      <c r="D53" s="277"/>
      <c r="E53" s="277" t="s">
        <v>597</v>
      </c>
      <c r="F53" s="297"/>
      <c r="G53" s="297"/>
      <c r="H53" s="297"/>
      <c r="I53" s="277"/>
      <c r="J53" s="277"/>
      <c r="K53" s="277"/>
      <c r="L53" s="297"/>
      <c r="M53" s="297"/>
      <c r="N53" s="297"/>
      <c r="O53" s="297"/>
      <c r="P53" s="277"/>
      <c r="Q53" s="277"/>
      <c r="R53" s="277"/>
      <c r="S53" s="297"/>
      <c r="T53" s="297"/>
      <c r="U53" s="297"/>
      <c r="V53" s="297"/>
      <c r="W53" s="278"/>
      <c r="X53" s="277"/>
      <c r="Y53" s="277"/>
      <c r="Z53" s="277"/>
      <c r="AA53" s="297"/>
      <c r="AB53" s="295"/>
      <c r="AC53" s="295"/>
      <c r="AD53" s="295"/>
      <c r="AE53" s="295"/>
      <c r="AF53" s="295"/>
      <c r="AG53" s="278"/>
      <c r="AH53" s="325" t="s">
        <v>234</v>
      </c>
      <c r="AI53" s="1954">
        <f>'Calculation (OLD)'!V104</f>
        <v>0</v>
      </c>
      <c r="AJ53" s="1955"/>
      <c r="AK53" s="1955"/>
      <c r="AL53" s="1955"/>
      <c r="AM53" s="1956"/>
      <c r="AN53" s="278"/>
      <c r="AO53" s="457"/>
      <c r="AP53" s="451"/>
      <c r="AQ53" s="451"/>
      <c r="AR53" s="451"/>
      <c r="AS53" s="452"/>
      <c r="AT53" s="453"/>
      <c r="AU53" s="454"/>
      <c r="AV53" s="454"/>
    </row>
    <row r="54" spans="1:48" s="275" customFormat="1">
      <c r="A54" s="297"/>
      <c r="B54" s="341">
        <v>15</v>
      </c>
      <c r="D54" s="277"/>
      <c r="E54" s="277" t="str">
        <f>'Calculation (OLD)'!D105</f>
        <v>Add: Health and Education Cess @ 4% on Payable Income Tax Amount</v>
      </c>
      <c r="F54" s="297"/>
      <c r="G54" s="297"/>
      <c r="H54" s="297"/>
      <c r="I54" s="277"/>
      <c r="J54" s="277"/>
      <c r="K54" s="277"/>
      <c r="L54" s="297"/>
      <c r="M54" s="297"/>
      <c r="N54" s="297"/>
      <c r="O54" s="297"/>
      <c r="P54" s="277"/>
      <c r="Q54" s="277"/>
      <c r="R54" s="277"/>
      <c r="S54" s="297"/>
      <c r="T54" s="297"/>
      <c r="U54" s="297"/>
      <c r="V54" s="297"/>
      <c r="W54" s="278"/>
      <c r="X54" s="277"/>
      <c r="Y54" s="277"/>
      <c r="Z54" s="277"/>
      <c r="AA54" s="297"/>
      <c r="AB54" s="295"/>
      <c r="AC54" s="295"/>
      <c r="AD54" s="295"/>
      <c r="AE54" s="295"/>
      <c r="AF54" s="295"/>
      <c r="AG54" s="278"/>
      <c r="AH54" s="325" t="s">
        <v>234</v>
      </c>
      <c r="AI54" s="1954">
        <f>'Calculation (OLD)'!V105</f>
        <v>2754</v>
      </c>
      <c r="AJ54" s="1955"/>
      <c r="AK54" s="1955"/>
      <c r="AL54" s="1955"/>
      <c r="AM54" s="1956"/>
      <c r="AN54" s="278"/>
      <c r="AO54" s="457"/>
      <c r="AP54" s="451"/>
      <c r="AQ54" s="451"/>
      <c r="AR54" s="451"/>
      <c r="AS54" s="452"/>
      <c r="AT54" s="453"/>
      <c r="AU54" s="454"/>
      <c r="AV54" s="454"/>
    </row>
    <row r="55" spans="1:48" s="275" customFormat="1">
      <c r="A55" s="297"/>
      <c r="B55" s="341">
        <v>16</v>
      </c>
      <c r="C55" s="296" t="s">
        <v>598</v>
      </c>
      <c r="D55" s="277"/>
      <c r="E55" s="297"/>
      <c r="F55" s="297"/>
      <c r="G55" s="297"/>
      <c r="H55" s="297"/>
      <c r="I55" s="277"/>
      <c r="J55" s="277"/>
      <c r="K55" s="277"/>
      <c r="L55" s="297"/>
      <c r="M55" s="297"/>
      <c r="N55" s="297"/>
      <c r="O55" s="297"/>
      <c r="P55" s="277"/>
      <c r="Q55" s="277"/>
      <c r="R55" s="277"/>
      <c r="S55" s="297"/>
      <c r="T55" s="297"/>
      <c r="U55" s="297"/>
      <c r="V55" s="297"/>
      <c r="W55" s="278"/>
      <c r="X55" s="277"/>
      <c r="Y55" s="277"/>
      <c r="Z55" s="277"/>
      <c r="AA55" s="297"/>
      <c r="AB55" s="295"/>
      <c r="AC55" s="295"/>
      <c r="AD55" s="295"/>
      <c r="AE55" s="295"/>
      <c r="AF55" s="295"/>
      <c r="AG55" s="278"/>
      <c r="AH55" s="325" t="s">
        <v>234</v>
      </c>
      <c r="AI55" s="1951">
        <f>'Calculation (OLD)'!V106</f>
        <v>71598</v>
      </c>
      <c r="AJ55" s="1952"/>
      <c r="AK55" s="1952"/>
      <c r="AL55" s="1952"/>
      <c r="AM55" s="1953"/>
      <c r="AN55" s="278"/>
      <c r="AO55" s="457"/>
      <c r="AP55" s="451"/>
      <c r="AQ55" s="451"/>
      <c r="AR55" s="451"/>
      <c r="AS55" s="452"/>
      <c r="AT55" s="453"/>
      <c r="AU55" s="454"/>
      <c r="AV55" s="454"/>
    </row>
    <row r="56" spans="1:48" s="275" customFormat="1">
      <c r="A56" s="297"/>
      <c r="B56" s="341"/>
      <c r="C56" s="296"/>
      <c r="D56" s="277"/>
      <c r="E56" s="1155" t="str">
        <f>'Calculation (OLD)'!D107</f>
        <v xml:space="preserve">Less : Relief U/s 89 [Attach Details Form 10 E]  </v>
      </c>
      <c r="F56" s="297"/>
      <c r="G56" s="297"/>
      <c r="H56" s="297"/>
      <c r="I56" s="277"/>
      <c r="J56" s="277"/>
      <c r="K56" s="277"/>
      <c r="L56" s="297"/>
      <c r="M56" s="297"/>
      <c r="N56" s="297"/>
      <c r="O56" s="297"/>
      <c r="P56" s="277"/>
      <c r="Q56" s="277"/>
      <c r="R56" s="277"/>
      <c r="S56" s="297"/>
      <c r="T56" s="297"/>
      <c r="U56" s="297"/>
      <c r="V56" s="297"/>
      <c r="W56" s="278"/>
      <c r="X56" s="277"/>
      <c r="Y56" s="277"/>
      <c r="Z56" s="277"/>
      <c r="AA56" s="297"/>
      <c r="AB56" s="295"/>
      <c r="AC56" s="295"/>
      <c r="AD56" s="295"/>
      <c r="AE56" s="295"/>
      <c r="AF56" s="295"/>
      <c r="AG56" s="278"/>
      <c r="AH56" s="325"/>
      <c r="AI56" s="1951">
        <f>'Calculation (OLD)'!V107</f>
        <v>18189</v>
      </c>
      <c r="AJ56" s="1952"/>
      <c r="AK56" s="1952"/>
      <c r="AL56" s="1952"/>
      <c r="AM56" s="1953"/>
      <c r="AN56" s="278"/>
      <c r="AO56" s="457"/>
      <c r="AP56" s="451"/>
      <c r="AQ56" s="451"/>
      <c r="AR56" s="451"/>
      <c r="AS56" s="452"/>
      <c r="AT56" s="453"/>
      <c r="AU56" s="454"/>
      <c r="AV56" s="454"/>
    </row>
    <row r="57" spans="1:48" s="275" customFormat="1">
      <c r="A57" s="297"/>
      <c r="B57" s="341">
        <v>17</v>
      </c>
      <c r="C57" s="1146" t="s">
        <v>635</v>
      </c>
      <c r="D57" s="277"/>
      <c r="E57" s="1155"/>
      <c r="F57" s="297"/>
      <c r="G57" s="297"/>
      <c r="H57" s="297"/>
      <c r="I57" s="277"/>
      <c r="J57" s="277"/>
      <c r="K57" s="277"/>
      <c r="L57" s="297"/>
      <c r="M57" s="297"/>
      <c r="N57" s="297"/>
      <c r="O57" s="297"/>
      <c r="P57" s="277"/>
      <c r="Q57" s="277"/>
      <c r="R57" s="277"/>
      <c r="S57" s="297"/>
      <c r="T57" s="297"/>
      <c r="U57" s="297"/>
      <c r="V57" s="297"/>
      <c r="W57" s="278"/>
      <c r="X57" s="277"/>
      <c r="Y57" s="277"/>
      <c r="Z57" s="277"/>
      <c r="AA57" s="297"/>
      <c r="AB57" s="295"/>
      <c r="AC57" s="295"/>
      <c r="AD57" s="295"/>
      <c r="AE57" s="295"/>
      <c r="AF57" s="295"/>
      <c r="AG57" s="278"/>
      <c r="AH57" s="325"/>
      <c r="AI57" s="1951">
        <f>'Calculation (OLD)'!V108</f>
        <v>53410</v>
      </c>
      <c r="AJ57" s="1952"/>
      <c r="AK57" s="1952"/>
      <c r="AL57" s="1952"/>
      <c r="AM57" s="1953"/>
      <c r="AN57" s="278"/>
      <c r="AO57" s="457"/>
      <c r="AP57" s="451"/>
      <c r="AQ57" s="451"/>
      <c r="AR57" s="451"/>
      <c r="AS57" s="452"/>
      <c r="AT57" s="453"/>
      <c r="AU57" s="454"/>
      <c r="AV57" s="454"/>
    </row>
    <row r="58" spans="1:48" s="275" customFormat="1">
      <c r="A58" s="297"/>
      <c r="B58" s="341">
        <v>18</v>
      </c>
      <c r="C58" s="296" t="str">
        <f>'Calculation (OLD)'!D112</f>
        <v xml:space="preserve">Total Tax Paid Till January </v>
      </c>
      <c r="D58" s="277"/>
      <c r="E58" s="297"/>
      <c r="F58" s="297"/>
      <c r="G58" s="297"/>
      <c r="H58" s="297"/>
      <c r="I58" s="277"/>
      <c r="J58" s="277"/>
      <c r="K58" s="277"/>
      <c r="L58" s="297"/>
      <c r="M58" s="297"/>
      <c r="N58" s="297"/>
      <c r="O58" s="297"/>
      <c r="P58" s="277"/>
      <c r="Q58" s="277"/>
      <c r="R58" s="277"/>
      <c r="S58" s="297"/>
      <c r="T58" s="297"/>
      <c r="U58" s="297"/>
      <c r="V58" s="297"/>
      <c r="W58" s="278"/>
      <c r="X58" s="277"/>
      <c r="Y58" s="277"/>
      <c r="Z58" s="277"/>
      <c r="AA58" s="297"/>
      <c r="AB58" s="295"/>
      <c r="AC58" s="295"/>
      <c r="AD58" s="295"/>
      <c r="AE58" s="295"/>
      <c r="AF58" s="295"/>
      <c r="AG58" s="278"/>
      <c r="AH58" s="325" t="s">
        <v>234</v>
      </c>
      <c r="AI58" s="1951">
        <f>'Calculation (OLD)'!V112</f>
        <v>33000</v>
      </c>
      <c r="AJ58" s="1952"/>
      <c r="AK58" s="1952"/>
      <c r="AL58" s="1952"/>
      <c r="AM58" s="1953"/>
      <c r="AN58" s="278"/>
      <c r="AO58" s="457"/>
      <c r="AP58" s="451"/>
      <c r="AQ58" s="451"/>
      <c r="AR58" s="451"/>
      <c r="AS58" s="452"/>
      <c r="AT58" s="453"/>
      <c r="AU58" s="454"/>
      <c r="AV58" s="454"/>
    </row>
    <row r="59" spans="1:48" s="275" customFormat="1">
      <c r="A59" s="297"/>
      <c r="B59" s="341">
        <v>19</v>
      </c>
      <c r="C59" s="296" t="str">
        <f>'Calculation (OLD)'!D113</f>
        <v>Delay in filing of Tax Returns - (Section 234(A))</v>
      </c>
      <c r="D59" s="277"/>
      <c r="E59" s="297"/>
      <c r="F59" s="297"/>
      <c r="G59" s="297"/>
      <c r="H59" s="297"/>
      <c r="I59" s="277"/>
      <c r="J59" s="277"/>
      <c r="K59" s="277"/>
      <c r="L59" s="297"/>
      <c r="M59" s="297"/>
      <c r="N59" s="297"/>
      <c r="O59" s="297"/>
      <c r="P59" s="277"/>
      <c r="Q59" s="277"/>
      <c r="R59" s="277"/>
      <c r="S59" s="297"/>
      <c r="T59" s="297"/>
      <c r="U59" s="297"/>
      <c r="V59" s="297"/>
      <c r="W59" s="278"/>
      <c r="X59" s="277"/>
      <c r="Y59" s="277"/>
      <c r="Z59" s="277"/>
      <c r="AA59" s="297"/>
      <c r="AB59" s="295"/>
      <c r="AC59" s="295"/>
      <c r="AD59" s="295"/>
      <c r="AE59" s="295"/>
      <c r="AF59" s="295"/>
      <c r="AG59" s="278"/>
      <c r="AH59" s="325" t="s">
        <v>234</v>
      </c>
      <c r="AI59" s="1951">
        <f>'Calculation (OLD)'!V113</f>
        <v>0</v>
      </c>
      <c r="AJ59" s="1952"/>
      <c r="AK59" s="1952"/>
      <c r="AL59" s="1952"/>
      <c r="AM59" s="1953"/>
      <c r="AN59" s="278"/>
      <c r="AO59" s="457"/>
      <c r="AP59" s="451"/>
      <c r="AQ59" s="451"/>
      <c r="AR59" s="451"/>
      <c r="AS59" s="452"/>
      <c r="AT59" s="453"/>
      <c r="AU59" s="454"/>
      <c r="AV59" s="454"/>
    </row>
    <row r="60" spans="1:48" s="275" customFormat="1">
      <c r="A60" s="297"/>
      <c r="B60" s="341">
        <v>20</v>
      </c>
      <c r="C60" s="277" t="str">
        <f>'Calculation (OLD)'!D114</f>
        <v>Total Tax Inculding Delay in filing of Tax Returns</v>
      </c>
      <c r="D60" s="277"/>
      <c r="E60" s="297"/>
      <c r="F60" s="297"/>
      <c r="G60" s="297"/>
      <c r="H60" s="297"/>
      <c r="I60" s="277"/>
      <c r="J60" s="277"/>
      <c r="K60" s="277"/>
      <c r="L60" s="297"/>
      <c r="M60" s="297"/>
      <c r="N60" s="297"/>
      <c r="O60" s="297"/>
      <c r="P60" s="277"/>
      <c r="Q60" s="277"/>
      <c r="R60" s="277"/>
      <c r="S60" s="297"/>
      <c r="T60" s="297"/>
      <c r="U60" s="297"/>
      <c r="V60" s="297"/>
      <c r="W60" s="278"/>
      <c r="X60" s="277"/>
      <c r="Y60" s="277"/>
      <c r="Z60" s="277"/>
      <c r="AA60" s="297"/>
      <c r="AB60" s="295"/>
      <c r="AC60" s="295"/>
      <c r="AD60" s="295"/>
      <c r="AE60" s="295"/>
      <c r="AF60" s="295"/>
      <c r="AG60" s="278"/>
      <c r="AH60" s="325" t="s">
        <v>234</v>
      </c>
      <c r="AI60" s="1951">
        <f>'Calculation (OLD)'!V114</f>
        <v>53410</v>
      </c>
      <c r="AJ60" s="1952"/>
      <c r="AK60" s="1952"/>
      <c r="AL60" s="1952"/>
      <c r="AM60" s="1953"/>
      <c r="AN60" s="278"/>
      <c r="AO60" s="457"/>
      <c r="AP60" s="451"/>
      <c r="AQ60" s="451"/>
      <c r="AR60" s="451"/>
      <c r="AS60" s="452"/>
      <c r="AT60" s="453"/>
      <c r="AU60" s="454"/>
      <c r="AV60" s="454"/>
    </row>
    <row r="61" spans="1:48" s="275" customFormat="1">
      <c r="A61" s="297"/>
      <c r="B61" s="341">
        <v>21</v>
      </c>
      <c r="C61" s="296" t="str">
        <f>'Calculation (OLD)'!D115</f>
        <v>Tax Payable / Refundable Till January 2021</v>
      </c>
      <c r="D61" s="277"/>
      <c r="E61" s="297"/>
      <c r="F61" s="297"/>
      <c r="G61" s="297"/>
      <c r="H61" s="297"/>
      <c r="I61" s="277"/>
      <c r="J61" s="277"/>
      <c r="K61" s="277"/>
      <c r="L61" s="297"/>
      <c r="M61" s="297"/>
      <c r="N61" s="297"/>
      <c r="O61" s="297"/>
      <c r="P61" s="277"/>
      <c r="Q61" s="277"/>
      <c r="R61" s="277"/>
      <c r="S61" s="297"/>
      <c r="T61" s="297"/>
      <c r="U61" s="297"/>
      <c r="V61" s="297"/>
      <c r="W61" s="278"/>
      <c r="X61" s="277"/>
      <c r="Y61" s="277"/>
      <c r="Z61" s="277"/>
      <c r="AA61" s="297"/>
      <c r="AB61" s="295"/>
      <c r="AC61" s="295"/>
      <c r="AD61" s="295"/>
      <c r="AE61" s="295"/>
      <c r="AF61" s="295"/>
      <c r="AG61" s="278"/>
      <c r="AH61" s="325" t="s">
        <v>234</v>
      </c>
      <c r="AI61" s="1951">
        <f>'Calculation (OLD)'!V115</f>
        <v>20410</v>
      </c>
      <c r="AJ61" s="1952"/>
      <c r="AK61" s="1952"/>
      <c r="AL61" s="1952"/>
      <c r="AM61" s="1953"/>
      <c r="AN61" s="278"/>
      <c r="AO61" s="457"/>
      <c r="AP61" s="451"/>
      <c r="AQ61" s="451"/>
      <c r="AR61" s="451"/>
      <c r="AS61" s="452"/>
      <c r="AT61" s="453"/>
      <c r="AU61" s="454"/>
      <c r="AV61" s="454"/>
    </row>
    <row r="62" spans="1:48" s="275" customFormat="1">
      <c r="A62" s="297"/>
      <c r="B62" s="341">
        <v>22</v>
      </c>
      <c r="C62" s="277" t="str">
        <f>'Calculation (OLD)'!D116</f>
        <v>Tax to be deducted in February</v>
      </c>
      <c r="D62" s="277"/>
      <c r="E62" s="297"/>
      <c r="F62" s="297"/>
      <c r="G62" s="297"/>
      <c r="H62" s="297"/>
      <c r="I62" s="277"/>
      <c r="J62" s="277"/>
      <c r="K62" s="277"/>
      <c r="L62" s="297"/>
      <c r="M62" s="297"/>
      <c r="N62" s="297"/>
      <c r="O62" s="297"/>
      <c r="P62" s="277"/>
      <c r="Q62" s="277"/>
      <c r="R62" s="277"/>
      <c r="S62" s="297"/>
      <c r="T62" s="297"/>
      <c r="U62" s="297"/>
      <c r="V62" s="297"/>
      <c r="W62" s="278"/>
      <c r="X62" s="277"/>
      <c r="Y62" s="277"/>
      <c r="Z62" s="277"/>
      <c r="AA62" s="297"/>
      <c r="AB62" s="295"/>
      <c r="AC62" s="295"/>
      <c r="AD62" s="295"/>
      <c r="AE62" s="295"/>
      <c r="AF62" s="295"/>
      <c r="AG62" s="278"/>
      <c r="AH62" s="325" t="s">
        <v>234</v>
      </c>
      <c r="AI62" s="1951">
        <f>'Calculation (OLD)'!V116</f>
        <v>0</v>
      </c>
      <c r="AJ62" s="1952"/>
      <c r="AK62" s="1952"/>
      <c r="AL62" s="1952"/>
      <c r="AM62" s="1953"/>
      <c r="AN62" s="278"/>
      <c r="AO62" s="457"/>
      <c r="AP62" s="451"/>
      <c r="AQ62" s="451"/>
      <c r="AR62" s="451"/>
      <c r="AS62" s="452"/>
      <c r="AT62" s="453"/>
      <c r="AU62" s="454"/>
      <c r="AV62" s="454"/>
    </row>
    <row r="63" spans="1:48" s="275" customFormat="1">
      <c r="A63" s="297"/>
      <c r="B63" s="341">
        <v>23</v>
      </c>
      <c r="C63" s="277" t="s">
        <v>651</v>
      </c>
      <c r="D63" s="277"/>
      <c r="E63" s="297"/>
      <c r="F63" s="297"/>
      <c r="G63" s="297"/>
      <c r="H63" s="297"/>
      <c r="I63" s="277"/>
      <c r="J63" s="277"/>
      <c r="K63" s="277"/>
      <c r="L63" s="297"/>
      <c r="M63" s="297"/>
      <c r="Q63" s="278"/>
      <c r="R63" s="1195"/>
      <c r="S63" s="1196" t="s">
        <v>652</v>
      </c>
      <c r="T63" s="1966">
        <v>12345</v>
      </c>
      <c r="U63" s="1966"/>
      <c r="V63" s="1966"/>
      <c r="W63" s="1967" t="s">
        <v>65</v>
      </c>
      <c r="X63" s="1967"/>
      <c r="Y63" s="1968">
        <v>44624</v>
      </c>
      <c r="Z63" s="1968"/>
      <c r="AA63" s="1968"/>
      <c r="AB63" s="1968"/>
      <c r="AC63" s="295"/>
      <c r="AD63" s="295"/>
      <c r="AE63" s="295"/>
      <c r="AF63" s="295"/>
      <c r="AG63" s="278"/>
      <c r="AH63" s="1187" t="s">
        <v>234</v>
      </c>
      <c r="AI63" s="1951">
        <f>'Calculation (OLD)'!V117</f>
        <v>0</v>
      </c>
      <c r="AJ63" s="1952"/>
      <c r="AK63" s="1952"/>
      <c r="AL63" s="1952"/>
      <c r="AM63" s="1953"/>
      <c r="AN63" s="278"/>
      <c r="AO63" s="457"/>
      <c r="AP63" s="451"/>
      <c r="AQ63" s="451"/>
      <c r="AR63" s="451"/>
      <c r="AS63" s="452"/>
      <c r="AT63" s="453"/>
      <c r="AU63" s="454"/>
      <c r="AV63" s="454"/>
    </row>
    <row r="64" spans="1:48" s="275" customFormat="1">
      <c r="A64" s="297"/>
      <c r="B64" s="341"/>
      <c r="C64" s="1189" t="s">
        <v>636</v>
      </c>
      <c r="D64" s="277"/>
      <c r="E64" s="297"/>
      <c r="F64" s="297"/>
      <c r="G64" s="297"/>
      <c r="H64" s="297"/>
      <c r="I64" s="277"/>
      <c r="J64" s="277"/>
      <c r="K64" s="277"/>
      <c r="L64" s="297"/>
      <c r="M64" s="297"/>
      <c r="N64" s="297"/>
      <c r="O64" s="297"/>
      <c r="P64" s="277"/>
      <c r="Q64" s="277"/>
      <c r="R64" s="277"/>
      <c r="S64" s="297"/>
      <c r="T64" s="297"/>
      <c r="U64" s="297"/>
      <c r="V64" s="297"/>
      <c r="W64" s="278"/>
      <c r="X64" s="277"/>
      <c r="Y64" s="1189" t="str">
        <f>IF(AND(AI64=0)," ",IF(AI64&lt;0,"Refundable","Payble"))</f>
        <v>Payble</v>
      </c>
      <c r="Z64" s="277"/>
      <c r="AA64" s="297"/>
      <c r="AB64" s="295"/>
      <c r="AC64" s="295"/>
      <c r="AD64" s="295"/>
      <c r="AE64" s="295"/>
      <c r="AF64" s="295"/>
      <c r="AG64" s="278"/>
      <c r="AH64" s="1187" t="s">
        <v>234</v>
      </c>
      <c r="AI64" s="1951">
        <f>'Calculation (OLD)'!V118</f>
        <v>20410</v>
      </c>
      <c r="AJ64" s="1952"/>
      <c r="AK64" s="1952"/>
      <c r="AL64" s="1952"/>
      <c r="AM64" s="1953"/>
      <c r="AN64" s="278"/>
      <c r="AO64" s="457"/>
      <c r="AP64" s="451"/>
      <c r="AQ64" s="451"/>
      <c r="AR64" s="451"/>
      <c r="AS64" s="452"/>
      <c r="AT64" s="453"/>
      <c r="AU64" s="454"/>
      <c r="AV64" s="454"/>
    </row>
    <row r="65" spans="1:48" s="275" customFormat="1">
      <c r="B65" s="278"/>
      <c r="C65" s="278"/>
      <c r="D65" s="278"/>
      <c r="E65" s="278"/>
      <c r="F65" s="278"/>
      <c r="G65" s="278"/>
      <c r="H65" s="278"/>
      <c r="I65" s="278"/>
      <c r="J65" s="278"/>
      <c r="K65" s="278"/>
      <c r="L65" s="278"/>
      <c r="M65" s="278"/>
      <c r="N65" s="278"/>
      <c r="O65" s="278"/>
      <c r="P65" s="278"/>
      <c r="Q65" s="278"/>
      <c r="R65" s="278"/>
      <c r="S65" s="277"/>
      <c r="T65" s="345"/>
      <c r="U65" s="345"/>
      <c r="V65" s="345"/>
      <c r="W65" s="345"/>
      <c r="X65" s="345"/>
      <c r="Y65" s="345"/>
      <c r="Z65" s="345"/>
      <c r="AA65" s="345"/>
      <c r="AB65" s="345"/>
      <c r="AC65" s="345"/>
      <c r="AD65" s="345"/>
      <c r="AE65" s="345"/>
      <c r="AF65" s="345"/>
      <c r="AG65" s="345"/>
      <c r="AH65" s="345"/>
      <c r="AI65" s="345"/>
      <c r="AJ65" s="345"/>
      <c r="AK65" s="345"/>
      <c r="AL65" s="345"/>
      <c r="AM65" s="345"/>
      <c r="AN65" s="346"/>
      <c r="AO65" s="458"/>
      <c r="AP65" s="450"/>
      <c r="AQ65" s="450"/>
      <c r="AR65" s="450"/>
      <c r="AS65" s="7"/>
      <c r="AT65" s="7"/>
      <c r="AU65" s="459"/>
      <c r="AV65" s="459"/>
    </row>
    <row r="66" spans="1:48">
      <c r="A66" s="291"/>
      <c r="B66" s="298"/>
      <c r="C66" s="291"/>
      <c r="D66" s="291"/>
      <c r="E66" s="291"/>
      <c r="F66" s="291"/>
      <c r="G66" s="291"/>
      <c r="H66" s="301"/>
      <c r="I66" s="291"/>
      <c r="J66" s="291"/>
      <c r="K66" s="291"/>
      <c r="L66" s="301"/>
      <c r="M66" s="301"/>
      <c r="N66" s="291"/>
      <c r="O66" s="291"/>
      <c r="P66" s="291"/>
      <c r="Q66" s="291"/>
      <c r="R66" s="291"/>
      <c r="S66" s="291"/>
      <c r="T66" s="291"/>
      <c r="U66" s="291"/>
      <c r="V66" s="342"/>
      <c r="W66" s="342"/>
      <c r="X66" s="291"/>
      <c r="Y66" s="291"/>
      <c r="Z66" s="291"/>
      <c r="AA66" s="291"/>
      <c r="AB66" s="301"/>
      <c r="AC66" s="301"/>
      <c r="AD66" s="342"/>
      <c r="AE66" s="291"/>
      <c r="AF66" s="291"/>
      <c r="AG66" s="291"/>
      <c r="AH66" s="291"/>
      <c r="AI66" s="291"/>
      <c r="AJ66" s="291"/>
      <c r="AK66" s="342"/>
      <c r="AL66" s="301"/>
      <c r="AM66" s="301"/>
      <c r="AN66" s="291"/>
      <c r="AO66" s="460"/>
      <c r="AP66" s="460"/>
      <c r="AQ66" s="460"/>
      <c r="AR66" s="460"/>
      <c r="AS66" s="460"/>
      <c r="AT66" s="461"/>
    </row>
    <row r="67" spans="1:48">
      <c r="A67" s="268"/>
      <c r="B67" s="343"/>
      <c r="C67" s="342"/>
      <c r="D67" s="342"/>
      <c r="E67" s="342"/>
      <c r="F67" s="342"/>
      <c r="G67" s="342"/>
      <c r="H67" s="342"/>
      <c r="I67" s="342"/>
      <c r="J67" s="342"/>
      <c r="K67" s="342"/>
      <c r="L67" s="342"/>
      <c r="M67" s="342"/>
      <c r="N67" s="342"/>
      <c r="O67" s="342"/>
      <c r="P67" s="342"/>
      <c r="Q67" s="342"/>
      <c r="R67" s="342"/>
      <c r="S67" s="342"/>
      <c r="T67" s="342"/>
      <c r="U67" s="342"/>
      <c r="V67" s="342"/>
      <c r="W67" s="344" t="s">
        <v>248</v>
      </c>
      <c r="X67" s="342"/>
      <c r="Y67" s="342"/>
      <c r="Z67" s="342"/>
      <c r="AA67" s="342"/>
      <c r="AB67" s="342"/>
      <c r="AC67" s="342"/>
      <c r="AD67" s="342"/>
      <c r="AE67" s="342"/>
      <c r="AF67" s="342"/>
      <c r="AG67" s="342"/>
      <c r="AH67" s="342"/>
      <c r="AI67" s="342"/>
      <c r="AJ67" s="342"/>
      <c r="AK67" s="342"/>
      <c r="AL67" s="342"/>
      <c r="AM67" s="342"/>
      <c r="AN67" s="342"/>
      <c r="AO67" s="461"/>
      <c r="AP67" s="461"/>
      <c r="AQ67" s="461"/>
      <c r="AR67" s="461"/>
      <c r="AS67" s="461"/>
      <c r="AT67" s="461"/>
    </row>
    <row r="68" spans="1:48">
      <c r="A68" s="268"/>
      <c r="B68" s="272"/>
      <c r="C68" s="268"/>
      <c r="D68" s="268"/>
      <c r="E68" s="268"/>
      <c r="F68" s="268"/>
      <c r="G68" s="268"/>
      <c r="H68" s="268"/>
      <c r="I68" s="268"/>
      <c r="J68" s="268"/>
      <c r="K68" s="268"/>
      <c r="L68" s="268"/>
      <c r="M68" s="268"/>
      <c r="N68" s="268"/>
      <c r="O68" s="268"/>
      <c r="P68" s="268"/>
      <c r="Q68" s="268"/>
      <c r="R68" s="268"/>
      <c r="S68" s="268"/>
      <c r="T68" s="268"/>
      <c r="U68" s="300"/>
      <c r="V68" s="268"/>
      <c r="W68" s="268"/>
      <c r="X68" s="268"/>
      <c r="Y68" s="268"/>
      <c r="Z68" s="268"/>
      <c r="AA68" s="268"/>
      <c r="AB68" s="268"/>
      <c r="AC68" s="268"/>
      <c r="AD68" s="268"/>
      <c r="AE68" s="268"/>
      <c r="AF68" s="268"/>
      <c r="AG68" s="268"/>
      <c r="AH68" s="268"/>
      <c r="AI68" s="268"/>
      <c r="AJ68" s="268"/>
      <c r="AK68" s="268"/>
      <c r="AL68" s="268"/>
      <c r="AM68" s="268"/>
      <c r="AN68" s="268"/>
      <c r="AO68" s="461"/>
      <c r="AP68" s="461"/>
      <c r="AQ68" s="241" t="s">
        <v>407</v>
      </c>
      <c r="AR68" s="241"/>
      <c r="AS68" s="461"/>
    </row>
    <row r="69" spans="1:48" ht="3.75" customHeight="1">
      <c r="A69" s="291"/>
      <c r="B69" s="298"/>
      <c r="C69" s="291"/>
      <c r="D69" s="291"/>
      <c r="E69" s="291"/>
      <c r="F69" s="291"/>
      <c r="G69" s="291"/>
      <c r="H69" s="301"/>
      <c r="I69" s="291"/>
      <c r="J69" s="291"/>
      <c r="K69" s="291"/>
      <c r="L69" s="301"/>
      <c r="M69" s="301"/>
      <c r="N69" s="291"/>
      <c r="O69" s="291"/>
      <c r="P69" s="291"/>
      <c r="Q69" s="291"/>
      <c r="R69" s="291"/>
      <c r="S69" s="291"/>
      <c r="T69" s="291"/>
      <c r="U69" s="291"/>
      <c r="V69" s="291"/>
      <c r="W69" s="291"/>
      <c r="X69" s="291"/>
      <c r="Y69" s="291"/>
      <c r="Z69" s="291"/>
      <c r="AA69" s="301"/>
      <c r="AB69" s="301"/>
      <c r="AC69" s="291"/>
      <c r="AD69" s="291"/>
      <c r="AE69" s="291"/>
      <c r="AF69" s="291"/>
      <c r="AG69" s="291"/>
      <c r="AH69" s="291"/>
      <c r="AI69" s="301"/>
      <c r="AJ69" s="301"/>
      <c r="AK69" s="291"/>
      <c r="AL69" s="291"/>
      <c r="AM69" s="291"/>
      <c r="AN69" s="291"/>
      <c r="AO69" s="463"/>
      <c r="AP69" s="463"/>
      <c r="AQ69" s="460"/>
      <c r="AR69" s="461"/>
      <c r="AS69" s="241"/>
      <c r="AT69" s="440"/>
      <c r="AU69" s="440"/>
      <c r="AV69" s="440"/>
    </row>
    <row r="70" spans="1:48" ht="18.75" customHeight="1">
      <c r="A70" s="291"/>
      <c r="B70" s="268"/>
      <c r="C70" s="622" t="s">
        <v>86</v>
      </c>
      <c r="D70" s="1963" t="str">
        <f>UPPER('Master Deails'!H27)</f>
        <v>RATILAL BALUBHAI CHOUDHARI</v>
      </c>
      <c r="E70" s="1963"/>
      <c r="F70" s="1963"/>
      <c r="G70" s="1963"/>
      <c r="H70" s="1963"/>
      <c r="I70" s="1963"/>
      <c r="J70" s="1963"/>
      <c r="K70" s="1963"/>
      <c r="L70" s="1963"/>
      <c r="M70" s="1963"/>
      <c r="N70" s="1963"/>
      <c r="O70" s="1963"/>
      <c r="P70" s="1963"/>
      <c r="Q70" s="1963"/>
      <c r="R70" s="1963"/>
      <c r="S70" s="1963"/>
      <c r="T70" s="1963"/>
      <c r="U70" s="1963"/>
      <c r="V70" s="1965" t="s">
        <v>407</v>
      </c>
      <c r="W70" s="1965"/>
      <c r="X70" s="1965"/>
      <c r="Y70" s="1965"/>
      <c r="Z70" s="623" t="s">
        <v>249</v>
      </c>
      <c r="AA70" s="1964" t="str">
        <f>UPPER('Master Deails'!H28)</f>
        <v>BALUBHAI CHOUDHARI</v>
      </c>
      <c r="AB70" s="1964"/>
      <c r="AC70" s="1964"/>
      <c r="AD70" s="1964"/>
      <c r="AE70" s="1964"/>
      <c r="AF70" s="1964"/>
      <c r="AG70" s="1964"/>
      <c r="AH70" s="1964"/>
      <c r="AI70" s="1964"/>
      <c r="AJ70" s="1964"/>
      <c r="AK70" s="1964"/>
      <c r="AL70" s="1964"/>
      <c r="AM70" s="1964"/>
      <c r="AN70" s="1964"/>
      <c r="AO70" s="464"/>
      <c r="AP70" s="464"/>
      <c r="AQ70" s="463" t="s">
        <v>408</v>
      </c>
      <c r="AR70" s="241"/>
      <c r="AS70" s="241"/>
      <c r="AT70" s="440"/>
      <c r="AU70" s="440"/>
      <c r="AV70" s="440"/>
    </row>
    <row r="71" spans="1:48" ht="17.25" customHeight="1">
      <c r="A71" s="291"/>
      <c r="B71" s="268"/>
      <c r="C71" s="622" t="s">
        <v>250</v>
      </c>
      <c r="D71" s="622"/>
      <c r="E71" s="622"/>
      <c r="F71" s="622"/>
      <c r="G71" s="622"/>
      <c r="H71" s="623"/>
      <c r="I71" s="622"/>
      <c r="J71" s="622"/>
      <c r="K71" s="622"/>
      <c r="L71" s="623"/>
      <c r="M71" s="1962" t="s">
        <v>471</v>
      </c>
      <c r="N71" s="1962"/>
      <c r="O71" s="1962"/>
      <c r="P71" s="1962"/>
      <c r="Q71" s="1962"/>
      <c r="R71" s="1962"/>
      <c r="S71" s="1962"/>
      <c r="T71" s="1962"/>
      <c r="U71" s="1962"/>
      <c r="V71" s="1962"/>
      <c r="W71" s="622" t="s">
        <v>599</v>
      </c>
      <c r="X71" s="278"/>
      <c r="Y71" s="278"/>
      <c r="Z71" s="622"/>
      <c r="AA71" s="623"/>
      <c r="AB71" s="623"/>
      <c r="AC71" s="277"/>
      <c r="AD71" s="277"/>
      <c r="AE71" s="277"/>
      <c r="AF71" s="277"/>
      <c r="AG71" s="277"/>
      <c r="AH71" s="277"/>
      <c r="AI71" s="297"/>
      <c r="AJ71" s="297"/>
      <c r="AK71" s="277"/>
      <c r="AL71" s="277"/>
      <c r="AM71" s="277"/>
      <c r="AN71" s="277"/>
      <c r="AO71" s="460"/>
      <c r="AP71" s="460"/>
      <c r="AQ71" s="460"/>
      <c r="AR71" s="461"/>
      <c r="AS71" s="461"/>
    </row>
    <row r="72" spans="1:48">
      <c r="A72" s="268"/>
      <c r="B72" s="268"/>
      <c r="C72" s="368" t="s">
        <v>69</v>
      </c>
      <c r="D72" s="1960">
        <f>AI58+AI62</f>
        <v>33000</v>
      </c>
      <c r="E72" s="1960"/>
      <c r="F72" s="1960"/>
      <c r="G72" s="1961"/>
      <c r="H72" s="1961"/>
      <c r="I72" s="1961"/>
      <c r="J72" s="1961"/>
      <c r="K72" s="1961"/>
      <c r="L72" s="1961"/>
      <c r="M72" s="1961"/>
      <c r="N72" s="1961"/>
      <c r="O72" s="1961"/>
      <c r="P72" s="1961"/>
      <c r="Q72" s="1961"/>
      <c r="R72" s="1961"/>
      <c r="S72" s="1961"/>
      <c r="T72" s="1961"/>
      <c r="U72" s="1961"/>
      <c r="V72" s="1961"/>
      <c r="W72" s="1961"/>
      <c r="X72" s="1961"/>
      <c r="Y72" s="1961"/>
      <c r="Z72" s="1961"/>
      <c r="AA72" s="1961"/>
      <c r="AB72" s="622" t="s">
        <v>251</v>
      </c>
      <c r="AC72" s="277"/>
      <c r="AD72" s="278"/>
      <c r="AE72" s="277"/>
      <c r="AF72" s="277"/>
      <c r="AG72" s="277"/>
      <c r="AH72" s="277"/>
      <c r="AI72" s="297"/>
      <c r="AJ72" s="297"/>
      <c r="AK72" s="277"/>
      <c r="AL72" s="277"/>
      <c r="AM72" s="277"/>
      <c r="AN72" s="277"/>
      <c r="AO72" s="463"/>
      <c r="AP72" s="463"/>
      <c r="AQ72" s="463"/>
      <c r="AR72" s="241"/>
      <c r="AS72" s="241"/>
      <c r="AT72" s="440"/>
      <c r="AU72" s="440"/>
      <c r="AV72" s="440"/>
    </row>
    <row r="73" spans="1:48">
      <c r="A73" s="268"/>
      <c r="B73" s="268"/>
      <c r="C73" s="622" t="s">
        <v>252</v>
      </c>
      <c r="D73" s="622"/>
      <c r="E73" s="622"/>
      <c r="F73" s="622"/>
      <c r="G73" s="622"/>
      <c r="H73" s="622"/>
      <c r="I73" s="622"/>
      <c r="J73" s="622"/>
      <c r="K73" s="622"/>
      <c r="L73" s="622"/>
      <c r="M73" s="622"/>
      <c r="N73" s="622"/>
      <c r="O73" s="622"/>
      <c r="P73" s="622"/>
      <c r="Q73" s="622"/>
      <c r="R73" s="622"/>
      <c r="S73" s="622"/>
      <c r="T73" s="622"/>
      <c r="U73" s="622"/>
      <c r="V73" s="622"/>
      <c r="W73" s="622"/>
      <c r="X73" s="622"/>
      <c r="Y73" s="622"/>
      <c r="Z73" s="622"/>
      <c r="AA73" s="623"/>
      <c r="AB73" s="623"/>
      <c r="AC73" s="277"/>
      <c r="AD73" s="277"/>
      <c r="AE73" s="277"/>
      <c r="AF73" s="277"/>
      <c r="AG73" s="277"/>
      <c r="AH73" s="277"/>
      <c r="AI73" s="297"/>
      <c r="AJ73" s="297"/>
      <c r="AK73" s="277"/>
      <c r="AL73" s="277"/>
      <c r="AM73" s="277"/>
      <c r="AN73" s="277"/>
      <c r="AO73" s="460"/>
      <c r="AP73" s="460"/>
      <c r="AQ73" s="460"/>
      <c r="AR73" s="461"/>
      <c r="AS73" s="461"/>
    </row>
    <row r="74" spans="1:48">
      <c r="A74" s="268"/>
      <c r="B74" s="268"/>
      <c r="C74" s="622" t="s">
        <v>253</v>
      </c>
      <c r="D74" s="622"/>
      <c r="E74" s="622"/>
      <c r="F74" s="622"/>
      <c r="G74" s="622"/>
      <c r="H74" s="622"/>
      <c r="I74" s="622"/>
      <c r="J74" s="622"/>
      <c r="K74" s="622"/>
      <c r="L74" s="622"/>
      <c r="M74" s="622"/>
      <c r="N74" s="622"/>
      <c r="O74" s="622"/>
      <c r="P74" s="622"/>
      <c r="Q74" s="622"/>
      <c r="R74" s="622"/>
      <c r="S74" s="622"/>
      <c r="T74" s="622"/>
      <c r="U74" s="622"/>
      <c r="V74" s="622"/>
      <c r="W74" s="622"/>
      <c r="X74" s="622"/>
      <c r="Y74" s="622"/>
      <c r="Z74" s="622"/>
      <c r="AA74" s="623"/>
      <c r="AB74" s="623"/>
      <c r="AC74" s="277"/>
      <c r="AD74" s="277"/>
      <c r="AE74" s="277"/>
      <c r="AF74" s="277"/>
      <c r="AG74" s="277"/>
      <c r="AH74" s="277"/>
      <c r="AI74" s="297"/>
      <c r="AJ74" s="297"/>
      <c r="AK74" s="277"/>
      <c r="AL74" s="277"/>
      <c r="AM74" s="277"/>
      <c r="AN74" s="277"/>
      <c r="AO74" s="463"/>
      <c r="AP74" s="463"/>
      <c r="AQ74" s="463"/>
      <c r="AR74" s="241"/>
      <c r="AS74" s="241"/>
      <c r="AT74" s="440"/>
      <c r="AU74" s="440"/>
      <c r="AV74" s="440"/>
    </row>
    <row r="75" spans="1:48" ht="3.75" customHeight="1">
      <c r="A75" s="268"/>
      <c r="B75" s="268"/>
      <c r="C75" s="278"/>
      <c r="D75" s="277"/>
      <c r="E75" s="277"/>
      <c r="F75" s="277"/>
      <c r="G75" s="277"/>
      <c r="H75" s="277"/>
      <c r="I75" s="277"/>
      <c r="J75" s="277"/>
      <c r="K75" s="277"/>
      <c r="L75" s="277"/>
      <c r="M75" s="277"/>
      <c r="N75" s="277"/>
      <c r="O75" s="277"/>
      <c r="P75" s="277"/>
      <c r="Q75" s="277"/>
      <c r="R75" s="277"/>
      <c r="S75" s="277"/>
      <c r="T75" s="277"/>
      <c r="U75" s="277"/>
      <c r="V75" s="277"/>
      <c r="W75" s="277"/>
      <c r="X75" s="277"/>
      <c r="Y75" s="277"/>
      <c r="Z75" s="277"/>
      <c r="AA75" s="297"/>
      <c r="AB75" s="297"/>
      <c r="AC75" s="277"/>
      <c r="AD75" s="277"/>
      <c r="AE75" s="277"/>
      <c r="AF75" s="277"/>
      <c r="AG75" s="277"/>
      <c r="AH75" s="277"/>
      <c r="AI75" s="297"/>
      <c r="AJ75" s="297"/>
      <c r="AK75" s="277"/>
      <c r="AL75" s="277"/>
      <c r="AM75" s="277"/>
      <c r="AN75" s="277"/>
      <c r="AO75" s="460"/>
      <c r="AP75" s="460"/>
      <c r="AQ75" s="460"/>
      <c r="AR75" s="461"/>
      <c r="AS75" s="461"/>
    </row>
    <row r="76" spans="1:48">
      <c r="A76" s="268"/>
      <c r="B76" s="268"/>
      <c r="C76" s="278" t="s">
        <v>64</v>
      </c>
      <c r="D76" s="277"/>
      <c r="E76" s="277"/>
      <c r="F76" s="1959" t="str">
        <f>Z86</f>
        <v>Ahwa</v>
      </c>
      <c r="G76" s="1959"/>
      <c r="H76" s="1959"/>
      <c r="I76" s="1959"/>
      <c r="J76" s="1959"/>
      <c r="K76" s="1959"/>
      <c r="L76" s="1959"/>
      <c r="M76" s="1959"/>
      <c r="N76" s="277"/>
      <c r="O76" s="277"/>
      <c r="P76" s="277"/>
      <c r="Q76" s="277"/>
      <c r="R76" s="277"/>
      <c r="S76" s="277"/>
      <c r="T76" s="277"/>
      <c r="U76" s="277"/>
      <c r="V76" s="277"/>
      <c r="W76" s="277"/>
      <c r="X76" s="277"/>
      <c r="Y76" s="277"/>
      <c r="Z76" s="277"/>
      <c r="AA76" s="297"/>
      <c r="AB76" s="297"/>
      <c r="AC76" s="277"/>
      <c r="AD76" s="277"/>
      <c r="AE76" s="277"/>
      <c r="AF76" s="277"/>
      <c r="AG76" s="277"/>
      <c r="AH76" s="277"/>
      <c r="AI76" s="297"/>
      <c r="AJ76" s="297"/>
      <c r="AK76" s="277"/>
      <c r="AL76" s="277"/>
      <c r="AM76" s="277"/>
      <c r="AN76" s="277"/>
      <c r="AO76" s="463"/>
      <c r="AP76" s="463"/>
      <c r="AQ76" s="463"/>
      <c r="AR76" s="241"/>
      <c r="AS76" s="241"/>
      <c r="AT76" s="440"/>
      <c r="AU76" s="440"/>
      <c r="AV76" s="440"/>
    </row>
    <row r="77" spans="1:48" ht="3.75" customHeight="1">
      <c r="A77" s="268"/>
      <c r="B77" s="268"/>
      <c r="C77" s="278"/>
      <c r="D77" s="277"/>
      <c r="E77" s="277"/>
      <c r="F77" s="277"/>
      <c r="G77" s="277"/>
      <c r="H77" s="277"/>
      <c r="I77" s="277"/>
      <c r="J77" s="277"/>
      <c r="K77" s="277"/>
      <c r="L77" s="277"/>
      <c r="M77" s="277"/>
      <c r="N77" s="277"/>
      <c r="O77" s="277"/>
      <c r="P77" s="277"/>
      <c r="Q77" s="277"/>
      <c r="R77" s="277"/>
      <c r="S77" s="277"/>
      <c r="T77" s="277"/>
      <c r="U77" s="277"/>
      <c r="V77" s="277"/>
      <c r="W77" s="277"/>
      <c r="X77" s="277"/>
      <c r="Y77" s="277"/>
      <c r="Z77" s="277"/>
      <c r="AA77" s="297"/>
      <c r="AB77" s="297"/>
      <c r="AC77" s="277"/>
      <c r="AD77" s="277"/>
      <c r="AE77" s="277"/>
      <c r="AF77" s="277"/>
      <c r="AG77" s="277"/>
      <c r="AH77" s="277"/>
      <c r="AI77" s="297"/>
      <c r="AJ77" s="297"/>
      <c r="AK77" s="277"/>
      <c r="AL77" s="277"/>
      <c r="AM77" s="277"/>
      <c r="AN77" s="277"/>
      <c r="AO77" s="460"/>
      <c r="AP77" s="460"/>
      <c r="AQ77" s="460"/>
      <c r="AR77" s="461"/>
      <c r="AS77" s="461"/>
    </row>
    <row r="78" spans="1:48" ht="15.75">
      <c r="A78" s="268"/>
      <c r="B78" s="268"/>
      <c r="C78" s="278" t="s">
        <v>65</v>
      </c>
      <c r="D78" s="277"/>
      <c r="E78" s="277"/>
      <c r="F78" s="1958">
        <f ca="1">TODAY()</f>
        <v>44729</v>
      </c>
      <c r="G78" s="1958"/>
      <c r="H78" s="1958"/>
      <c r="I78" s="1958"/>
      <c r="J78" s="1958"/>
      <c r="K78" s="1958"/>
      <c r="L78" s="1958"/>
      <c r="M78" s="277"/>
      <c r="N78" s="277"/>
      <c r="O78" s="277"/>
      <c r="P78" s="277"/>
      <c r="Q78" s="277"/>
      <c r="R78" s="277"/>
      <c r="S78" s="277"/>
      <c r="T78" s="277"/>
      <c r="U78" s="277"/>
      <c r="V78" s="277"/>
      <c r="W78" s="277"/>
      <c r="X78" s="277"/>
      <c r="Y78" s="277"/>
      <c r="Z78" s="277"/>
      <c r="AA78" s="297"/>
      <c r="AB78" s="297"/>
      <c r="AC78" s="277"/>
      <c r="AD78" s="277"/>
      <c r="AE78" s="277"/>
      <c r="AF78" s="297"/>
      <c r="AG78" s="277"/>
      <c r="AH78" s="277"/>
      <c r="AI78" s="297"/>
      <c r="AJ78" s="297"/>
      <c r="AK78" s="277"/>
      <c r="AL78" s="277"/>
      <c r="AM78" s="277"/>
      <c r="AN78" s="277"/>
      <c r="AO78" s="463"/>
      <c r="AP78" s="463"/>
      <c r="AQ78" s="463"/>
      <c r="AR78" s="241"/>
      <c r="AS78" s="241"/>
      <c r="AT78" s="440"/>
      <c r="AU78" s="440"/>
      <c r="AV78" s="440"/>
    </row>
    <row r="79" spans="1:48" ht="0.75" customHeight="1">
      <c r="A79" s="268"/>
      <c r="B79" s="268"/>
      <c r="C79" s="291"/>
      <c r="D79" s="291"/>
      <c r="E79" s="291"/>
      <c r="F79" s="291"/>
      <c r="G79" s="291"/>
      <c r="H79" s="291"/>
      <c r="I79" s="291"/>
      <c r="J79" s="291"/>
      <c r="K79" s="291"/>
      <c r="L79" s="291"/>
      <c r="M79" s="291"/>
      <c r="N79" s="291"/>
      <c r="O79" s="291"/>
      <c r="P79" s="291"/>
      <c r="Q79" s="291"/>
      <c r="R79" s="291"/>
      <c r="S79" s="291"/>
      <c r="T79" s="291"/>
      <c r="U79" s="291"/>
      <c r="V79" s="291"/>
      <c r="W79" s="291"/>
      <c r="X79" s="291"/>
      <c r="Y79" s="291"/>
      <c r="Z79" s="291"/>
      <c r="AA79" s="301"/>
      <c r="AB79" s="301"/>
      <c r="AC79" s="291"/>
      <c r="AD79" s="291"/>
      <c r="AE79" s="291"/>
      <c r="AF79" s="301"/>
      <c r="AG79" s="291"/>
      <c r="AH79" s="291"/>
      <c r="AI79" s="301"/>
      <c r="AJ79" s="301"/>
      <c r="AK79" s="291"/>
      <c r="AL79" s="291"/>
      <c r="AM79" s="291"/>
      <c r="AN79" s="291"/>
      <c r="AO79" s="460"/>
      <c r="AP79" s="460"/>
      <c r="AQ79" s="460"/>
      <c r="AR79" s="461"/>
      <c r="AS79" s="461"/>
    </row>
    <row r="80" spans="1:48" ht="15.75">
      <c r="A80" s="291"/>
      <c r="B80" s="298"/>
      <c r="C80" s="291"/>
      <c r="D80" s="291"/>
      <c r="E80" s="291"/>
      <c r="F80" s="303"/>
      <c r="G80" s="303"/>
      <c r="H80" s="303"/>
      <c r="I80" s="303"/>
      <c r="J80" s="303"/>
      <c r="K80" s="303"/>
      <c r="L80" s="303"/>
      <c r="M80" s="303"/>
      <c r="N80" s="303"/>
      <c r="O80" s="303"/>
      <c r="P80" s="291"/>
      <c r="Q80" s="291"/>
      <c r="R80" s="291"/>
      <c r="S80" s="291"/>
      <c r="T80" s="291"/>
      <c r="U80" s="291"/>
      <c r="V80" s="291"/>
      <c r="W80" s="291"/>
      <c r="X80" s="291"/>
      <c r="Y80" s="291"/>
      <c r="Z80" s="291"/>
      <c r="AA80" s="301"/>
      <c r="AB80" s="301"/>
      <c r="AC80" s="291"/>
      <c r="AD80" s="291"/>
      <c r="AE80" s="291"/>
      <c r="AF80" s="301" t="s">
        <v>254</v>
      </c>
      <c r="AG80" s="291"/>
      <c r="AH80" s="291"/>
      <c r="AI80" s="301"/>
      <c r="AJ80" s="301"/>
      <c r="AK80" s="291"/>
      <c r="AL80" s="291"/>
      <c r="AM80" s="291"/>
      <c r="AN80" s="291"/>
      <c r="AO80" s="463"/>
      <c r="AP80" s="463"/>
      <c r="AQ80" s="463"/>
      <c r="AR80" s="241"/>
      <c r="AS80" s="241"/>
      <c r="AT80" s="440"/>
      <c r="AU80" s="440"/>
      <c r="AV80" s="440"/>
    </row>
    <row r="81" spans="1:49">
      <c r="A81" s="291"/>
      <c r="B81" s="291"/>
      <c r="C81" s="291"/>
      <c r="D81" s="291"/>
      <c r="E81" s="291"/>
      <c r="F81" s="291"/>
      <c r="G81" s="291"/>
      <c r="H81" s="291"/>
      <c r="I81" s="291"/>
      <c r="J81" s="291"/>
      <c r="K81" s="291"/>
      <c r="L81" s="291"/>
      <c r="M81" s="291"/>
      <c r="N81" s="291"/>
      <c r="O81" s="291"/>
      <c r="P81" s="291"/>
      <c r="Q81" s="291"/>
      <c r="R81" s="291"/>
      <c r="S81" s="291"/>
      <c r="T81" s="291"/>
      <c r="U81" s="291"/>
      <c r="V81" s="291"/>
      <c r="W81" s="291"/>
      <c r="X81" s="291"/>
      <c r="Y81" s="291"/>
      <c r="Z81" s="291"/>
      <c r="AA81" s="301"/>
      <c r="AB81" s="301"/>
      <c r="AC81" s="291"/>
      <c r="AD81" s="291"/>
      <c r="AE81" s="291"/>
      <c r="AF81" s="301" t="s">
        <v>255</v>
      </c>
      <c r="AG81" s="291"/>
      <c r="AH81" s="291"/>
      <c r="AI81" s="301"/>
      <c r="AJ81" s="301"/>
      <c r="AK81" s="291"/>
      <c r="AL81" s="291"/>
      <c r="AM81" s="291"/>
      <c r="AN81" s="291"/>
      <c r="AO81" s="460"/>
      <c r="AP81" s="460"/>
      <c r="AQ81" s="460"/>
      <c r="AR81" s="461"/>
      <c r="AS81" s="461"/>
    </row>
    <row r="82" spans="1:49">
      <c r="A82" s="291"/>
      <c r="B82" s="298"/>
      <c r="C82" s="291"/>
      <c r="D82" s="291"/>
      <c r="E82" s="291"/>
      <c r="F82" s="291"/>
      <c r="G82" s="291"/>
      <c r="H82" s="291"/>
      <c r="I82" s="1957"/>
      <c r="J82" s="1957"/>
      <c r="K82" s="1957"/>
      <c r="L82" s="291"/>
      <c r="M82" s="291"/>
      <c r="N82" s="291"/>
      <c r="O82" s="291"/>
      <c r="P82" s="291"/>
      <c r="Q82" s="291"/>
      <c r="R82" s="291"/>
      <c r="S82" s="291"/>
      <c r="T82" s="291"/>
      <c r="U82" s="291"/>
      <c r="V82" s="291"/>
      <c r="W82" s="291"/>
      <c r="X82" s="304" t="s">
        <v>256</v>
      </c>
      <c r="Y82" s="291"/>
      <c r="Z82" s="302" t="str">
        <f>D70</f>
        <v>RATILAL BALUBHAI CHOUDHARI</v>
      </c>
      <c r="AA82" s="302"/>
      <c r="AB82" s="268"/>
      <c r="AC82" s="291"/>
      <c r="AD82" s="291"/>
      <c r="AE82" s="291"/>
      <c r="AF82" s="291"/>
      <c r="AG82" s="291"/>
      <c r="AH82" s="291"/>
      <c r="AI82" s="291"/>
      <c r="AJ82" s="291"/>
      <c r="AK82" s="291"/>
      <c r="AL82" s="291"/>
      <c r="AM82" s="291"/>
      <c r="AN82" s="291"/>
      <c r="AO82" s="463"/>
      <c r="AP82" s="463"/>
      <c r="AQ82" s="463"/>
      <c r="AR82" s="241"/>
      <c r="AS82" s="241"/>
      <c r="AT82" s="440"/>
      <c r="AU82" s="440"/>
      <c r="AV82" s="440"/>
    </row>
    <row r="83" spans="1:49" ht="0.75" customHeight="1">
      <c r="A83" s="291"/>
      <c r="B83" s="298"/>
      <c r="C83" s="291"/>
      <c r="D83" s="291"/>
      <c r="E83" s="291"/>
      <c r="F83" s="291"/>
      <c r="G83" s="291"/>
      <c r="H83" s="291"/>
      <c r="I83" s="291"/>
      <c r="J83" s="291"/>
      <c r="K83" s="291"/>
      <c r="L83" s="291"/>
      <c r="M83" s="291"/>
      <c r="N83" s="291"/>
      <c r="O83" s="291"/>
      <c r="P83" s="291"/>
      <c r="Q83" s="291"/>
      <c r="R83" s="291"/>
      <c r="S83" s="291"/>
      <c r="T83" s="291"/>
      <c r="U83" s="291"/>
      <c r="V83" s="291"/>
      <c r="W83" s="291"/>
      <c r="X83" s="291"/>
      <c r="Y83" s="291"/>
      <c r="Z83" s="302"/>
      <c r="AA83" s="302"/>
      <c r="AB83" s="268"/>
      <c r="AC83" s="291"/>
      <c r="AD83" s="291"/>
      <c r="AE83" s="291"/>
      <c r="AF83" s="291"/>
      <c r="AG83" s="291"/>
      <c r="AH83" s="291"/>
      <c r="AI83" s="291"/>
      <c r="AJ83" s="291"/>
      <c r="AK83" s="291"/>
      <c r="AL83" s="291"/>
      <c r="AM83" s="291"/>
      <c r="AN83" s="291"/>
      <c r="AO83" s="460"/>
      <c r="AP83" s="460"/>
      <c r="AQ83" s="460"/>
      <c r="AR83" s="461"/>
      <c r="AS83" s="461"/>
    </row>
    <row r="84" spans="1:49">
      <c r="A84" s="291"/>
      <c r="B84" s="298"/>
      <c r="C84" s="291"/>
      <c r="D84" s="291"/>
      <c r="E84" s="291"/>
      <c r="F84" s="291"/>
      <c r="G84" s="291"/>
      <c r="H84" s="291"/>
      <c r="I84" s="291"/>
      <c r="J84" s="291"/>
      <c r="K84" s="291"/>
      <c r="L84" s="291"/>
      <c r="M84" s="291"/>
      <c r="N84" s="291"/>
      <c r="O84" s="291"/>
      <c r="P84" s="291"/>
      <c r="Q84" s="291"/>
      <c r="R84" s="291"/>
      <c r="S84" s="291"/>
      <c r="T84" s="291"/>
      <c r="U84" s="291"/>
      <c r="V84" s="291"/>
      <c r="W84" s="291"/>
      <c r="X84" s="304" t="s">
        <v>93</v>
      </c>
      <c r="Y84" s="291"/>
      <c r="Z84" s="302" t="str">
        <f>'Master Deails'!H24</f>
        <v xml:space="preserve">Account Officer </v>
      </c>
      <c r="AA84" s="302"/>
      <c r="AB84" s="268"/>
      <c r="AC84" s="291"/>
      <c r="AD84" s="291"/>
      <c r="AE84" s="291"/>
      <c r="AF84" s="291"/>
      <c r="AG84" s="291"/>
      <c r="AH84" s="291"/>
      <c r="AI84" s="291"/>
      <c r="AJ84" s="291"/>
      <c r="AK84" s="291"/>
      <c r="AL84" s="291"/>
      <c r="AM84" s="291"/>
      <c r="AN84" s="291"/>
      <c r="AO84" s="463"/>
      <c r="AP84" s="463"/>
      <c r="AQ84" s="463"/>
      <c r="AR84" s="241"/>
      <c r="AS84" s="241"/>
      <c r="AT84" s="440"/>
      <c r="AU84" s="440"/>
      <c r="AV84" s="440"/>
    </row>
    <row r="85" spans="1:49">
      <c r="A85" s="291"/>
      <c r="B85" s="298"/>
      <c r="C85" s="291"/>
      <c r="D85" s="291"/>
      <c r="E85" s="291"/>
      <c r="F85" s="291"/>
      <c r="G85" s="291"/>
      <c r="H85" s="291"/>
      <c r="I85" s="291"/>
      <c r="J85" s="291"/>
      <c r="K85" s="291"/>
      <c r="L85" s="291"/>
      <c r="M85" s="291"/>
      <c r="N85" s="291"/>
      <c r="O85" s="291"/>
      <c r="P85" s="291"/>
      <c r="Q85" s="291"/>
      <c r="R85" s="291"/>
      <c r="S85" s="291"/>
      <c r="T85" s="291"/>
      <c r="U85" s="291"/>
      <c r="V85" s="291"/>
      <c r="W85" s="291"/>
      <c r="X85" s="291"/>
      <c r="Y85" s="291"/>
      <c r="Z85" s="302" t="str">
        <f>'Master Deails'!H25</f>
        <v>Dangs District Panchayat Ahwa</v>
      </c>
      <c r="AA85" s="302"/>
      <c r="AB85" s="291"/>
      <c r="AC85" s="291"/>
      <c r="AD85" s="291"/>
      <c r="AE85" s="291"/>
      <c r="AF85" s="291"/>
      <c r="AG85" s="291"/>
      <c r="AH85" s="291"/>
      <c r="AI85" s="291"/>
      <c r="AJ85" s="291"/>
      <c r="AK85" s="291"/>
      <c r="AL85" s="291"/>
      <c r="AM85" s="291"/>
      <c r="AN85" s="291"/>
      <c r="AO85" s="460"/>
      <c r="AP85" s="460"/>
      <c r="AQ85" s="460"/>
      <c r="AR85" s="461"/>
      <c r="AS85" s="461"/>
    </row>
    <row r="86" spans="1:49">
      <c r="A86" s="291"/>
      <c r="B86" s="305"/>
      <c r="C86" s="306"/>
      <c r="D86" s="306"/>
      <c r="E86" s="306"/>
      <c r="F86" s="306"/>
      <c r="G86" s="306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2" t="str">
        <f>'Master Deails'!H26</f>
        <v>Ahwa</v>
      </c>
      <c r="AA86" s="307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306"/>
      <c r="AN86" s="306"/>
      <c r="AO86" s="463"/>
      <c r="AP86" s="463"/>
      <c r="AQ86" s="463"/>
      <c r="AR86" s="241"/>
      <c r="AS86" s="241"/>
      <c r="AT86" s="440"/>
      <c r="AU86" s="440"/>
      <c r="AV86" s="440"/>
    </row>
    <row r="87" spans="1:49" ht="3" customHeight="1">
      <c r="A87" s="266"/>
      <c r="B87" s="308"/>
      <c r="C87" s="306"/>
      <c r="D87" s="310"/>
      <c r="E87" s="310"/>
      <c r="F87" s="310"/>
      <c r="G87" s="310"/>
      <c r="H87" s="310"/>
      <c r="I87" s="310"/>
      <c r="J87" s="310"/>
      <c r="K87" s="310"/>
      <c r="L87" s="310"/>
      <c r="M87" s="310"/>
      <c r="N87" s="310"/>
      <c r="O87" s="310"/>
      <c r="P87" s="310"/>
      <c r="Q87" s="310"/>
      <c r="R87" s="310"/>
      <c r="S87" s="310"/>
      <c r="T87" s="310"/>
      <c r="U87" s="310"/>
      <c r="V87" s="310"/>
      <c r="W87" s="310"/>
      <c r="X87" s="310"/>
      <c r="Y87" s="310"/>
      <c r="Z87" s="310"/>
      <c r="AA87" s="310"/>
      <c r="AB87" s="310"/>
      <c r="AC87" s="310"/>
      <c r="AD87" s="310"/>
      <c r="AE87" s="310"/>
      <c r="AF87" s="310"/>
      <c r="AG87" s="310"/>
      <c r="AH87" s="310"/>
      <c r="AI87" s="310"/>
      <c r="AJ87" s="310"/>
      <c r="AK87" s="310"/>
      <c r="AL87" s="310"/>
      <c r="AM87" s="309"/>
      <c r="AN87" s="310"/>
      <c r="AO87" s="465"/>
      <c r="AP87" s="465"/>
      <c r="AQ87" s="465"/>
      <c r="AR87" s="465"/>
      <c r="AS87" s="448"/>
      <c r="AT87" s="448"/>
      <c r="AU87" s="448"/>
      <c r="AV87" s="448"/>
      <c r="AW87" s="268"/>
    </row>
    <row r="88" spans="1:49" s="314" customFormat="1" ht="15" hidden="1" customHeight="1">
      <c r="A88" s="266"/>
      <c r="B88" s="299" t="s">
        <v>257</v>
      </c>
      <c r="C88" s="299"/>
      <c r="D88" s="311"/>
      <c r="E88" s="311"/>
      <c r="F88" s="311"/>
      <c r="G88" s="311"/>
      <c r="H88" s="311"/>
      <c r="I88" s="311"/>
      <c r="J88" s="311"/>
      <c r="K88" s="311"/>
      <c r="L88" s="311"/>
      <c r="M88" s="310"/>
      <c r="N88" s="310"/>
      <c r="O88" s="310"/>
      <c r="P88" s="310"/>
      <c r="Q88" s="310"/>
      <c r="R88" s="266" t="s">
        <v>258</v>
      </c>
      <c r="S88" s="310"/>
      <c r="T88" s="310"/>
      <c r="U88" s="310"/>
      <c r="V88" s="310"/>
      <c r="W88" s="310"/>
      <c r="X88" s="310"/>
      <c r="Y88" s="310"/>
      <c r="Z88" s="310"/>
      <c r="AA88" s="310"/>
      <c r="AB88" s="310"/>
      <c r="AC88" s="312">
        <f>SUM('FORM 16_2 (OLD)'!AI9:AM14)</f>
        <v>4800</v>
      </c>
      <c r="AD88" s="310"/>
      <c r="AE88" s="310"/>
      <c r="AF88" s="310"/>
      <c r="AG88" s="310"/>
      <c r="AH88" s="310"/>
      <c r="AI88" s="310"/>
      <c r="AJ88" s="310"/>
      <c r="AK88" s="310"/>
      <c r="AL88" s="310"/>
      <c r="AM88" s="309"/>
      <c r="AN88" s="313"/>
      <c r="AO88" s="466"/>
      <c r="AP88" s="465">
        <f>IF(100000&gt;=AC88,AC88,100000)</f>
        <v>4800</v>
      </c>
      <c r="AQ88" s="465"/>
      <c r="AR88" s="465"/>
      <c r="AS88" s="448"/>
      <c r="AT88" s="448"/>
      <c r="AU88" s="448"/>
      <c r="AV88" s="448"/>
      <c r="AW88" s="279"/>
    </row>
    <row r="89" spans="1:49" ht="1.5" customHeight="1">
      <c r="A89" s="266"/>
      <c r="B89" s="315"/>
      <c r="C89" s="315"/>
      <c r="D89" s="309"/>
      <c r="E89" s="309"/>
      <c r="F89" s="309"/>
      <c r="G89" s="309"/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309"/>
      <c r="AA89" s="309"/>
      <c r="AB89" s="309"/>
      <c r="AC89" s="309"/>
      <c r="AD89" s="309"/>
      <c r="AE89" s="309"/>
      <c r="AF89" s="309"/>
      <c r="AG89" s="309"/>
      <c r="AH89" s="309"/>
      <c r="AI89" s="309"/>
      <c r="AJ89" s="309"/>
      <c r="AK89" s="309"/>
      <c r="AL89" s="309"/>
      <c r="AM89" s="309"/>
      <c r="AN89" s="316"/>
      <c r="AO89" s="467"/>
      <c r="AP89" s="467"/>
      <c r="AQ89" s="467"/>
      <c r="AR89" s="467"/>
      <c r="AS89" s="467"/>
      <c r="AT89" s="467"/>
      <c r="AU89" s="467"/>
      <c r="AV89" s="467"/>
    </row>
    <row r="90" spans="1:49">
      <c r="A90" s="266"/>
      <c r="B90" s="315"/>
      <c r="C90" s="315"/>
      <c r="D90" s="309"/>
      <c r="E90" s="309"/>
      <c r="F90" s="309"/>
      <c r="G90" s="309"/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309"/>
      <c r="AA90" s="309"/>
      <c r="AB90" s="309"/>
      <c r="AC90" s="309"/>
      <c r="AD90" s="309"/>
      <c r="AE90" s="309"/>
      <c r="AF90" s="309"/>
      <c r="AG90" s="309"/>
      <c r="AH90" s="309"/>
      <c r="AI90" s="309"/>
      <c r="AJ90" s="309"/>
      <c r="AK90" s="309"/>
      <c r="AL90" s="309"/>
      <c r="AM90" s="309"/>
      <c r="AN90" s="316"/>
      <c r="AO90" s="467"/>
      <c r="AP90" s="467"/>
      <c r="AQ90" s="467"/>
      <c r="AR90" s="467"/>
      <c r="AS90" s="467"/>
      <c r="AT90" s="467"/>
      <c r="AU90" s="467"/>
      <c r="AV90" s="467"/>
    </row>
    <row r="91" spans="1:49" ht="15" hidden="1" customHeight="1">
      <c r="AO91" s="467"/>
      <c r="AP91" s="467"/>
      <c r="AQ91" s="467"/>
      <c r="AR91" s="467"/>
      <c r="AS91" s="467"/>
      <c r="AT91" s="467"/>
      <c r="AU91" s="467"/>
      <c r="AV91" s="467"/>
    </row>
    <row r="92" spans="1:49" ht="15" hidden="1" customHeight="1">
      <c r="AO92" s="467"/>
      <c r="AP92" s="467"/>
      <c r="AQ92" s="467"/>
      <c r="AR92" s="467"/>
      <c r="AS92" s="467"/>
      <c r="AT92" s="467"/>
      <c r="AU92" s="467"/>
      <c r="AV92" s="467"/>
    </row>
    <row r="93" spans="1:49" ht="15" hidden="1" customHeight="1">
      <c r="AO93" s="467"/>
      <c r="AP93" s="467"/>
      <c r="AQ93" s="467"/>
      <c r="AR93" s="467"/>
      <c r="AS93" s="467"/>
      <c r="AT93" s="467"/>
      <c r="AU93" s="467"/>
      <c r="AV93" s="467"/>
    </row>
    <row r="94" spans="1:49" ht="15" hidden="1" customHeight="1">
      <c r="AO94" s="467"/>
      <c r="AP94" s="467"/>
      <c r="AQ94" s="467"/>
      <c r="AR94" s="467"/>
      <c r="AS94" s="467"/>
      <c r="AT94" s="467"/>
      <c r="AU94" s="467"/>
      <c r="AV94" s="467"/>
    </row>
    <row r="95" spans="1:49" ht="15" hidden="1" customHeight="1">
      <c r="AO95" s="467"/>
      <c r="AP95" s="467"/>
      <c r="AQ95" s="467"/>
      <c r="AR95" s="467"/>
      <c r="AS95" s="467"/>
      <c r="AT95" s="467"/>
      <c r="AU95" s="467"/>
      <c r="AV95" s="467"/>
    </row>
    <row r="96" spans="1:49" ht="15" hidden="1" customHeight="1">
      <c r="AO96" s="467"/>
      <c r="AP96" s="467"/>
      <c r="AQ96" s="467"/>
      <c r="AR96" s="467"/>
      <c r="AS96" s="467"/>
      <c r="AT96" s="467"/>
      <c r="AU96" s="467"/>
      <c r="AV96" s="467"/>
    </row>
    <row r="97" spans="41:48" ht="15" hidden="1" customHeight="1">
      <c r="AO97" s="467"/>
      <c r="AP97" s="467"/>
      <c r="AQ97" s="467"/>
      <c r="AR97" s="467"/>
      <c r="AS97" s="467"/>
      <c r="AT97" s="467"/>
      <c r="AU97" s="467"/>
      <c r="AV97" s="467"/>
    </row>
    <row r="98" spans="41:48" ht="15" hidden="1" customHeight="1">
      <c r="AO98" s="467"/>
      <c r="AP98" s="467"/>
      <c r="AQ98" s="467"/>
      <c r="AR98" s="467"/>
      <c r="AS98" s="467"/>
      <c r="AT98" s="467"/>
      <c r="AU98" s="467"/>
      <c r="AV98" s="467"/>
    </row>
    <row r="99" spans="41:48" ht="15" hidden="1" customHeight="1">
      <c r="AO99" s="467"/>
      <c r="AP99" s="467"/>
      <c r="AQ99" s="467"/>
      <c r="AR99" s="467"/>
      <c r="AS99" s="467"/>
      <c r="AT99" s="467"/>
      <c r="AU99" s="467"/>
      <c r="AV99" s="467"/>
    </row>
    <row r="100" spans="41:48" ht="15" hidden="1" customHeight="1">
      <c r="AO100" s="467"/>
      <c r="AP100" s="467"/>
      <c r="AQ100" s="467"/>
      <c r="AR100" s="467"/>
      <c r="AS100" s="467"/>
      <c r="AT100" s="467"/>
      <c r="AU100" s="467"/>
      <c r="AV100" s="467"/>
    </row>
    <row r="101" spans="41:48" ht="15" hidden="1" customHeight="1">
      <c r="AO101" s="467"/>
      <c r="AP101" s="467"/>
      <c r="AQ101" s="467"/>
      <c r="AR101" s="467"/>
      <c r="AS101" s="467"/>
      <c r="AT101" s="467"/>
      <c r="AU101" s="467"/>
      <c r="AV101" s="467"/>
    </row>
    <row r="102" spans="41:48" ht="15" hidden="1" customHeight="1">
      <c r="AO102" s="467"/>
      <c r="AP102" s="467"/>
      <c r="AQ102" s="467"/>
      <c r="AR102" s="467"/>
      <c r="AS102" s="467"/>
      <c r="AT102" s="467"/>
      <c r="AU102" s="467"/>
      <c r="AV102" s="467"/>
    </row>
    <row r="103" spans="41:48" ht="15" hidden="1" customHeight="1">
      <c r="AO103" s="467"/>
      <c r="AP103" s="467"/>
      <c r="AQ103" s="467"/>
      <c r="AR103" s="467"/>
      <c r="AS103" s="467"/>
      <c r="AT103" s="467"/>
      <c r="AU103" s="467"/>
      <c r="AV103" s="467"/>
    </row>
    <row r="104" spans="41:48" ht="15" hidden="1" customHeight="1">
      <c r="AO104" s="467"/>
      <c r="AP104" s="467"/>
      <c r="AQ104" s="467"/>
      <c r="AR104" s="467"/>
      <c r="AS104" s="467"/>
      <c r="AT104" s="467"/>
      <c r="AU104" s="467"/>
      <c r="AV104" s="467"/>
    </row>
    <row r="105" spans="41:48" ht="15" hidden="1" customHeight="1">
      <c r="AO105" s="467"/>
      <c r="AP105" s="467"/>
      <c r="AQ105" s="467"/>
      <c r="AR105" s="467"/>
      <c r="AS105" s="467"/>
      <c r="AT105" s="467"/>
      <c r="AU105" s="467"/>
      <c r="AV105" s="467"/>
    </row>
    <row r="106" spans="41:48" ht="15" hidden="1" customHeight="1">
      <c r="AO106" s="467"/>
      <c r="AP106" s="467"/>
      <c r="AQ106" s="467"/>
      <c r="AR106" s="467"/>
      <c r="AS106" s="467"/>
      <c r="AT106" s="467"/>
      <c r="AU106" s="467"/>
      <c r="AV106" s="467"/>
    </row>
    <row r="107" spans="41:48" ht="15" hidden="1" customHeight="1">
      <c r="AO107" s="467"/>
      <c r="AP107" s="467"/>
      <c r="AQ107" s="467"/>
      <c r="AR107" s="467"/>
      <c r="AS107" s="467"/>
      <c r="AT107" s="467"/>
      <c r="AU107" s="467"/>
      <c r="AV107" s="467"/>
    </row>
    <row r="108" spans="41:48" ht="15" hidden="1" customHeight="1">
      <c r="AO108" s="467"/>
      <c r="AP108" s="467"/>
      <c r="AQ108" s="467"/>
      <c r="AR108" s="467"/>
      <c r="AS108" s="467"/>
      <c r="AT108" s="467"/>
      <c r="AU108" s="467"/>
      <c r="AV108" s="467"/>
    </row>
    <row r="109" spans="41:48" ht="15" hidden="1" customHeight="1">
      <c r="AO109" s="467"/>
      <c r="AP109" s="467"/>
      <c r="AQ109" s="467"/>
      <c r="AR109" s="467"/>
      <c r="AS109" s="467"/>
      <c r="AT109" s="467"/>
      <c r="AU109" s="467"/>
      <c r="AV109" s="467"/>
    </row>
    <row r="110" spans="41:48" ht="15" hidden="1" customHeight="1">
      <c r="AO110" s="467"/>
      <c r="AP110" s="467"/>
      <c r="AQ110" s="467"/>
      <c r="AR110" s="467"/>
      <c r="AS110" s="467"/>
      <c r="AT110" s="467"/>
      <c r="AU110" s="467"/>
      <c r="AV110" s="467"/>
    </row>
    <row r="111" spans="41:48" ht="15" hidden="1" customHeight="1">
      <c r="AO111" s="467"/>
      <c r="AP111" s="467"/>
      <c r="AQ111" s="467"/>
      <c r="AR111" s="467"/>
      <c r="AS111" s="467"/>
      <c r="AT111" s="467"/>
      <c r="AU111" s="467"/>
      <c r="AV111" s="467"/>
    </row>
    <row r="112" spans="41:48" ht="15" hidden="1" customHeight="1">
      <c r="AO112" s="467"/>
      <c r="AP112" s="467"/>
      <c r="AQ112" s="467"/>
      <c r="AR112" s="467"/>
      <c r="AS112" s="467"/>
      <c r="AT112" s="467"/>
      <c r="AU112" s="467"/>
      <c r="AV112" s="467"/>
    </row>
    <row r="113" spans="41:48" ht="15" hidden="1" customHeight="1">
      <c r="AO113" s="467"/>
      <c r="AP113" s="467"/>
      <c r="AQ113" s="467"/>
      <c r="AR113" s="467"/>
      <c r="AS113" s="467"/>
      <c r="AT113" s="467"/>
      <c r="AU113" s="467"/>
      <c r="AV113" s="467"/>
    </row>
    <row r="114" spans="41:48" ht="15" hidden="1" customHeight="1">
      <c r="AO114" s="467"/>
      <c r="AP114" s="467"/>
      <c r="AQ114" s="467"/>
      <c r="AR114" s="467"/>
      <c r="AS114" s="467"/>
      <c r="AT114" s="467"/>
      <c r="AU114" s="467"/>
      <c r="AV114" s="467"/>
    </row>
    <row r="115" spans="41:48" ht="15" hidden="1" customHeight="1">
      <c r="AO115" s="467"/>
      <c r="AP115" s="467"/>
      <c r="AQ115" s="467"/>
      <c r="AR115" s="467"/>
      <c r="AS115" s="467"/>
      <c r="AT115" s="467"/>
      <c r="AU115" s="467"/>
      <c r="AV115" s="467"/>
    </row>
    <row r="116" spans="41:48" ht="15" hidden="1" customHeight="1">
      <c r="AO116" s="467"/>
      <c r="AP116" s="467"/>
      <c r="AQ116" s="467"/>
      <c r="AR116" s="467"/>
      <c r="AS116" s="467"/>
      <c r="AT116" s="467"/>
      <c r="AU116" s="467"/>
      <c r="AV116" s="467"/>
    </row>
    <row r="117" spans="41:48" ht="15" hidden="1" customHeight="1">
      <c r="AO117" s="467"/>
      <c r="AP117" s="467"/>
      <c r="AQ117" s="467"/>
      <c r="AR117" s="467"/>
      <c r="AS117" s="467"/>
      <c r="AT117" s="467"/>
      <c r="AU117" s="467"/>
      <c r="AV117" s="467"/>
    </row>
    <row r="118" spans="41:48" ht="15" hidden="1" customHeight="1">
      <c r="AO118" s="467"/>
      <c r="AP118" s="467"/>
      <c r="AQ118" s="467"/>
      <c r="AR118" s="467"/>
      <c r="AS118" s="467"/>
      <c r="AT118" s="467"/>
      <c r="AU118" s="467"/>
      <c r="AV118" s="467"/>
    </row>
    <row r="119" spans="41:48" ht="15" hidden="1" customHeight="1">
      <c r="AO119" s="467"/>
      <c r="AP119" s="467"/>
      <c r="AQ119" s="467"/>
      <c r="AR119" s="467"/>
      <c r="AS119" s="467"/>
      <c r="AT119" s="467"/>
      <c r="AU119" s="467"/>
      <c r="AV119" s="467"/>
    </row>
    <row r="120" spans="41:48" ht="15" hidden="1" customHeight="1">
      <c r="AO120" s="467"/>
      <c r="AP120" s="467"/>
      <c r="AQ120" s="467"/>
      <c r="AR120" s="467"/>
      <c r="AS120" s="467"/>
      <c r="AT120" s="467"/>
      <c r="AU120" s="467"/>
      <c r="AV120" s="467"/>
    </row>
    <row r="121" spans="41:48" ht="15" hidden="1" customHeight="1">
      <c r="AO121" s="467"/>
      <c r="AP121" s="467"/>
      <c r="AQ121" s="467"/>
      <c r="AR121" s="467"/>
      <c r="AS121" s="467"/>
      <c r="AT121" s="467"/>
      <c r="AU121" s="467"/>
      <c r="AV121" s="467"/>
    </row>
    <row r="122" spans="41:48" ht="15" hidden="1" customHeight="1">
      <c r="AO122" s="467"/>
      <c r="AP122" s="467"/>
      <c r="AQ122" s="467"/>
      <c r="AR122" s="467"/>
      <c r="AS122" s="467"/>
      <c r="AT122" s="467"/>
      <c r="AU122" s="467"/>
      <c r="AV122" s="467"/>
    </row>
    <row r="123" spans="41:48" ht="15" hidden="1" customHeight="1">
      <c r="AO123" s="467"/>
      <c r="AP123" s="467"/>
      <c r="AQ123" s="467"/>
      <c r="AR123" s="467"/>
      <c r="AS123" s="467"/>
      <c r="AT123" s="467"/>
      <c r="AU123" s="467"/>
      <c r="AV123" s="467"/>
    </row>
    <row r="124" spans="41:48" ht="15" hidden="1" customHeight="1">
      <c r="AO124" s="467"/>
      <c r="AP124" s="467"/>
      <c r="AQ124" s="467"/>
      <c r="AR124" s="467"/>
      <c r="AS124" s="467"/>
      <c r="AT124" s="467"/>
      <c r="AU124" s="467"/>
      <c r="AV124" s="467"/>
    </row>
    <row r="125" spans="41:48" ht="15" hidden="1" customHeight="1">
      <c r="AO125" s="467"/>
      <c r="AP125" s="467"/>
      <c r="AQ125" s="467"/>
      <c r="AR125" s="467"/>
      <c r="AS125" s="467"/>
      <c r="AT125" s="467"/>
      <c r="AU125" s="467"/>
      <c r="AV125" s="467"/>
    </row>
    <row r="126" spans="41:48" ht="15" hidden="1" customHeight="1">
      <c r="AO126" s="467"/>
      <c r="AP126" s="467"/>
      <c r="AQ126" s="467"/>
      <c r="AR126" s="467"/>
      <c r="AS126" s="467"/>
      <c r="AT126" s="467"/>
      <c r="AU126" s="467"/>
      <c r="AV126" s="467"/>
    </row>
    <row r="127" spans="41:48" ht="15" hidden="1" customHeight="1">
      <c r="AO127" s="467"/>
      <c r="AP127" s="467"/>
      <c r="AQ127" s="467"/>
      <c r="AR127" s="467"/>
      <c r="AS127" s="467"/>
      <c r="AT127" s="467"/>
      <c r="AU127" s="467"/>
      <c r="AV127" s="467"/>
    </row>
    <row r="128" spans="41:48" ht="15" hidden="1" customHeight="1">
      <c r="AO128" s="467"/>
      <c r="AP128" s="467"/>
      <c r="AQ128" s="467"/>
      <c r="AR128" s="467"/>
      <c r="AS128" s="467"/>
      <c r="AT128" s="467"/>
      <c r="AU128" s="467"/>
      <c r="AV128" s="467"/>
    </row>
    <row r="129" spans="41:48" ht="15" hidden="1" customHeight="1">
      <c r="AO129" s="467"/>
      <c r="AP129" s="467"/>
      <c r="AQ129" s="467"/>
      <c r="AR129" s="467"/>
      <c r="AS129" s="467"/>
      <c r="AT129" s="467"/>
      <c r="AU129" s="467"/>
      <c r="AV129" s="467"/>
    </row>
    <row r="130" spans="41:48" ht="15" hidden="1" customHeight="1">
      <c r="AO130" s="467"/>
      <c r="AP130" s="467"/>
      <c r="AQ130" s="467"/>
      <c r="AR130" s="467"/>
      <c r="AS130" s="467"/>
      <c r="AT130" s="467"/>
      <c r="AU130" s="467"/>
      <c r="AV130" s="467"/>
    </row>
    <row r="131" spans="41:48" ht="15" hidden="1" customHeight="1">
      <c r="AO131" s="467"/>
      <c r="AP131" s="467"/>
      <c r="AQ131" s="467"/>
      <c r="AR131" s="467"/>
      <c r="AS131" s="467"/>
      <c r="AT131" s="467"/>
      <c r="AU131" s="467"/>
      <c r="AV131" s="467"/>
    </row>
    <row r="132" spans="41:48" ht="15" hidden="1" customHeight="1">
      <c r="AO132" s="467"/>
      <c r="AP132" s="467"/>
      <c r="AQ132" s="467"/>
      <c r="AR132" s="467"/>
      <c r="AS132" s="467"/>
      <c r="AT132" s="467"/>
      <c r="AU132" s="467"/>
      <c r="AV132" s="467"/>
    </row>
    <row r="133" spans="41:48" ht="15" hidden="1" customHeight="1">
      <c r="AO133" s="467"/>
      <c r="AP133" s="467"/>
      <c r="AQ133" s="467"/>
      <c r="AR133" s="467"/>
      <c r="AS133" s="467"/>
      <c r="AT133" s="467"/>
      <c r="AU133" s="467"/>
      <c r="AV133" s="467"/>
    </row>
    <row r="134" spans="41:48" ht="15" hidden="1" customHeight="1">
      <c r="AO134" s="467"/>
      <c r="AP134" s="467"/>
      <c r="AQ134" s="467"/>
      <c r="AR134" s="467"/>
      <c r="AS134" s="467"/>
      <c r="AT134" s="467"/>
      <c r="AU134" s="467"/>
      <c r="AV134" s="467"/>
    </row>
    <row r="135" spans="41:48" ht="15" hidden="1" customHeight="1">
      <c r="AO135" s="467"/>
      <c r="AP135" s="467"/>
      <c r="AQ135" s="467"/>
      <c r="AR135" s="467"/>
      <c r="AS135" s="467"/>
      <c r="AT135" s="467"/>
      <c r="AU135" s="467"/>
      <c r="AV135" s="467"/>
    </row>
    <row r="136" spans="41:48" ht="15" hidden="1" customHeight="1">
      <c r="AO136" s="467"/>
      <c r="AP136" s="467"/>
      <c r="AQ136" s="467"/>
      <c r="AR136" s="467"/>
      <c r="AS136" s="467"/>
      <c r="AT136" s="467"/>
      <c r="AU136" s="467"/>
      <c r="AV136" s="467"/>
    </row>
    <row r="137" spans="41:48" ht="15" hidden="1" customHeight="1">
      <c r="AO137" s="467"/>
      <c r="AP137" s="467"/>
      <c r="AQ137" s="467"/>
      <c r="AR137" s="467"/>
      <c r="AS137" s="467"/>
      <c r="AT137" s="467"/>
      <c r="AU137" s="467"/>
      <c r="AV137" s="467"/>
    </row>
    <row r="138" spans="41:48" ht="15" hidden="1" customHeight="1">
      <c r="AO138" s="467"/>
      <c r="AP138" s="467"/>
      <c r="AQ138" s="467"/>
      <c r="AR138" s="467"/>
      <c r="AS138" s="467"/>
      <c r="AT138" s="467"/>
      <c r="AU138" s="467"/>
      <c r="AV138" s="467"/>
    </row>
    <row r="139" spans="41:48" ht="15" hidden="1" customHeight="1">
      <c r="AO139" s="467"/>
      <c r="AP139" s="467"/>
      <c r="AQ139" s="467"/>
      <c r="AR139" s="467"/>
      <c r="AS139" s="467"/>
      <c r="AT139" s="467"/>
      <c r="AU139" s="467"/>
      <c r="AV139" s="467"/>
    </row>
    <row r="140" spans="41:48" ht="15" hidden="1" customHeight="1">
      <c r="AO140" s="467"/>
      <c r="AP140" s="467"/>
      <c r="AQ140" s="467"/>
      <c r="AR140" s="467"/>
      <c r="AS140" s="467"/>
      <c r="AT140" s="467"/>
      <c r="AU140" s="467"/>
      <c r="AV140" s="467"/>
    </row>
    <row r="141" spans="41:48" ht="15" hidden="1" customHeight="1">
      <c r="AO141" s="467"/>
      <c r="AP141" s="467"/>
      <c r="AQ141" s="467"/>
      <c r="AR141" s="467"/>
      <c r="AS141" s="467"/>
      <c r="AT141" s="467"/>
      <c r="AU141" s="467"/>
      <c r="AV141" s="467"/>
    </row>
    <row r="142" spans="41:48" ht="15" hidden="1" customHeight="1">
      <c r="AO142" s="467"/>
      <c r="AP142" s="467"/>
      <c r="AQ142" s="467"/>
      <c r="AR142" s="467"/>
      <c r="AS142" s="467"/>
      <c r="AT142" s="467"/>
      <c r="AU142" s="467"/>
      <c r="AV142" s="467"/>
    </row>
    <row r="143" spans="41:48" ht="15" hidden="1" customHeight="1">
      <c r="AO143" s="467"/>
      <c r="AP143" s="467"/>
      <c r="AQ143" s="467"/>
      <c r="AR143" s="467"/>
      <c r="AS143" s="467"/>
      <c r="AT143" s="467"/>
      <c r="AU143" s="467"/>
      <c r="AV143" s="467"/>
    </row>
    <row r="144" spans="41:48" ht="15" hidden="1" customHeight="1">
      <c r="AO144" s="467"/>
      <c r="AP144" s="467"/>
      <c r="AQ144" s="467"/>
      <c r="AR144" s="467"/>
      <c r="AS144" s="467"/>
      <c r="AT144" s="467"/>
      <c r="AU144" s="467"/>
      <c r="AV144" s="467"/>
    </row>
    <row r="145" spans="41:48" ht="15" hidden="1" customHeight="1">
      <c r="AO145" s="467"/>
      <c r="AP145" s="467"/>
      <c r="AQ145" s="467"/>
      <c r="AR145" s="467"/>
      <c r="AS145" s="467"/>
      <c r="AT145" s="467"/>
      <c r="AU145" s="467"/>
      <c r="AV145" s="467"/>
    </row>
    <row r="146" spans="41:48" ht="15" hidden="1" customHeight="1">
      <c r="AO146" s="467"/>
      <c r="AP146" s="467"/>
      <c r="AQ146" s="467"/>
      <c r="AR146" s="467"/>
      <c r="AS146" s="467"/>
      <c r="AT146" s="467"/>
      <c r="AU146" s="467"/>
      <c r="AV146" s="467"/>
    </row>
    <row r="147" spans="41:48" ht="15" hidden="1" customHeight="1">
      <c r="AO147" s="467"/>
      <c r="AP147" s="467"/>
      <c r="AQ147" s="467"/>
      <c r="AR147" s="467"/>
      <c r="AS147" s="467"/>
      <c r="AT147" s="467"/>
      <c r="AU147" s="467"/>
      <c r="AV147" s="467"/>
    </row>
    <row r="148" spans="41:48" ht="15" hidden="1" customHeight="1">
      <c r="AO148" s="467"/>
      <c r="AP148" s="467"/>
      <c r="AQ148" s="467"/>
      <c r="AR148" s="467"/>
      <c r="AS148" s="467"/>
      <c r="AT148" s="467"/>
      <c r="AU148" s="467"/>
      <c r="AV148" s="467"/>
    </row>
    <row r="149" spans="41:48" ht="15" hidden="1" customHeight="1">
      <c r="AO149" s="467"/>
      <c r="AP149" s="467"/>
      <c r="AQ149" s="467"/>
      <c r="AR149" s="467"/>
      <c r="AS149" s="467"/>
      <c r="AT149" s="467"/>
      <c r="AU149" s="467"/>
      <c r="AV149" s="467"/>
    </row>
    <row r="150" spans="41:48" ht="15" hidden="1" customHeight="1">
      <c r="AO150" s="467"/>
      <c r="AP150" s="467"/>
      <c r="AQ150" s="467"/>
      <c r="AR150" s="467"/>
      <c r="AS150" s="467"/>
      <c r="AT150" s="467"/>
      <c r="AU150" s="467"/>
      <c r="AV150" s="467"/>
    </row>
    <row r="151" spans="41:48" ht="15" hidden="1" customHeight="1">
      <c r="AO151" s="467"/>
      <c r="AP151" s="467"/>
      <c r="AQ151" s="467"/>
      <c r="AR151" s="467"/>
      <c r="AS151" s="467"/>
      <c r="AT151" s="467"/>
      <c r="AU151" s="467"/>
      <c r="AV151" s="467"/>
    </row>
    <row r="152" spans="41:48" ht="15" hidden="1" customHeight="1">
      <c r="AO152" s="467"/>
      <c r="AP152" s="467"/>
      <c r="AQ152" s="467"/>
      <c r="AR152" s="467"/>
      <c r="AS152" s="467"/>
      <c r="AT152" s="467"/>
      <c r="AU152" s="467"/>
      <c r="AV152" s="467"/>
    </row>
    <row r="153" spans="41:48" ht="15" hidden="1" customHeight="1">
      <c r="AO153" s="467"/>
      <c r="AP153" s="467"/>
      <c r="AQ153" s="467"/>
      <c r="AR153" s="467"/>
      <c r="AS153" s="467"/>
      <c r="AT153" s="467"/>
      <c r="AU153" s="467"/>
      <c r="AV153" s="467"/>
    </row>
    <row r="154" spans="41:48" ht="15" hidden="1" customHeight="1">
      <c r="AO154" s="467"/>
      <c r="AP154" s="467"/>
      <c r="AQ154" s="467"/>
      <c r="AR154" s="467"/>
      <c r="AS154" s="467"/>
      <c r="AT154" s="467"/>
      <c r="AU154" s="467"/>
      <c r="AV154" s="467"/>
    </row>
    <row r="155" spans="41:48" ht="15" hidden="1" customHeight="1">
      <c r="AO155" s="467"/>
      <c r="AP155" s="467"/>
      <c r="AQ155" s="467"/>
      <c r="AR155" s="467"/>
      <c r="AS155" s="467"/>
      <c r="AT155" s="467"/>
      <c r="AU155" s="467"/>
      <c r="AV155" s="467"/>
    </row>
    <row r="156" spans="41:48" ht="15" hidden="1" customHeight="1">
      <c r="AO156" s="467"/>
      <c r="AP156" s="467"/>
      <c r="AQ156" s="467"/>
      <c r="AR156" s="467"/>
      <c r="AS156" s="467"/>
      <c r="AT156" s="467"/>
      <c r="AU156" s="467"/>
      <c r="AV156" s="467"/>
    </row>
    <row r="157" spans="41:48" ht="15" hidden="1" customHeight="1">
      <c r="AO157" s="467"/>
      <c r="AP157" s="467"/>
      <c r="AQ157" s="467"/>
      <c r="AR157" s="467"/>
      <c r="AS157" s="467"/>
      <c r="AT157" s="467"/>
      <c r="AU157" s="467"/>
      <c r="AV157" s="467"/>
    </row>
    <row r="158" spans="41:48" ht="15" hidden="1" customHeight="1">
      <c r="AO158" s="467"/>
      <c r="AP158" s="467"/>
      <c r="AQ158" s="467"/>
      <c r="AR158" s="467"/>
      <c r="AS158" s="467"/>
      <c r="AT158" s="467"/>
      <c r="AU158" s="467"/>
      <c r="AV158" s="467"/>
    </row>
    <row r="159" spans="41:48" ht="15" hidden="1" customHeight="1">
      <c r="AO159" s="467"/>
      <c r="AP159" s="467"/>
      <c r="AQ159" s="467"/>
      <c r="AR159" s="467"/>
      <c r="AS159" s="467"/>
      <c r="AT159" s="467"/>
      <c r="AU159" s="467"/>
      <c r="AV159" s="467"/>
    </row>
    <row r="160" spans="41:48" ht="15" hidden="1" customHeight="1">
      <c r="AO160" s="467"/>
      <c r="AP160" s="467"/>
      <c r="AQ160" s="467"/>
      <c r="AR160" s="467"/>
      <c r="AS160" s="467"/>
      <c r="AT160" s="467"/>
      <c r="AU160" s="467"/>
      <c r="AV160" s="467"/>
    </row>
    <row r="161" spans="41:48" ht="15" hidden="1" customHeight="1">
      <c r="AO161" s="467"/>
      <c r="AP161" s="467"/>
      <c r="AQ161" s="467"/>
      <c r="AR161" s="467"/>
      <c r="AS161" s="467"/>
      <c r="AT161" s="467"/>
      <c r="AU161" s="467"/>
      <c r="AV161" s="467"/>
    </row>
    <row r="162" spans="41:48" ht="15" hidden="1" customHeight="1">
      <c r="AO162" s="467"/>
      <c r="AP162" s="467"/>
      <c r="AQ162" s="467"/>
      <c r="AR162" s="467"/>
      <c r="AS162" s="467"/>
      <c r="AT162" s="467"/>
      <c r="AU162" s="467"/>
      <c r="AV162" s="467"/>
    </row>
    <row r="163" spans="41:48" ht="15" hidden="1" customHeight="1">
      <c r="AO163" s="467"/>
      <c r="AP163" s="467"/>
      <c r="AQ163" s="467"/>
      <c r="AR163" s="467"/>
      <c r="AS163" s="467"/>
      <c r="AT163" s="467"/>
      <c r="AU163" s="467"/>
      <c r="AV163" s="467"/>
    </row>
    <row r="164" spans="41:48" ht="15" hidden="1" customHeight="1">
      <c r="AO164" s="467"/>
      <c r="AP164" s="467"/>
      <c r="AQ164" s="467"/>
      <c r="AR164" s="467"/>
      <c r="AS164" s="467"/>
      <c r="AT164" s="467"/>
      <c r="AU164" s="467"/>
      <c r="AV164" s="467"/>
    </row>
    <row r="165" spans="41:48" ht="15" hidden="1" customHeight="1">
      <c r="AO165" s="467"/>
      <c r="AP165" s="467"/>
      <c r="AQ165" s="467"/>
      <c r="AR165" s="467"/>
      <c r="AS165" s="467"/>
      <c r="AT165" s="467"/>
      <c r="AU165" s="467"/>
      <c r="AV165" s="467"/>
    </row>
    <row r="166" spans="41:48" ht="15" hidden="1" customHeight="1">
      <c r="AO166" s="467"/>
      <c r="AP166" s="467"/>
      <c r="AQ166" s="467"/>
      <c r="AR166" s="467"/>
      <c r="AS166" s="467"/>
      <c r="AT166" s="467"/>
      <c r="AU166" s="467"/>
      <c r="AV166" s="467"/>
    </row>
    <row r="167" spans="41:48" ht="15" hidden="1" customHeight="1">
      <c r="AO167" s="467"/>
      <c r="AP167" s="467"/>
      <c r="AQ167" s="467"/>
      <c r="AR167" s="467"/>
      <c r="AS167" s="467"/>
      <c r="AT167" s="467"/>
      <c r="AU167" s="467"/>
      <c r="AV167" s="467"/>
    </row>
    <row r="168" spans="41:48" ht="15" hidden="1" customHeight="1">
      <c r="AO168" s="467"/>
      <c r="AP168" s="467"/>
      <c r="AQ168" s="467"/>
      <c r="AR168" s="467"/>
      <c r="AS168" s="467"/>
      <c r="AT168" s="467"/>
      <c r="AU168" s="467"/>
      <c r="AV168" s="467"/>
    </row>
    <row r="169" spans="41:48" ht="15" hidden="1" customHeight="1">
      <c r="AO169" s="467"/>
      <c r="AP169" s="467"/>
      <c r="AQ169" s="467"/>
      <c r="AR169" s="467"/>
      <c r="AS169" s="467"/>
      <c r="AT169" s="467"/>
      <c r="AU169" s="467"/>
      <c r="AV169" s="467"/>
    </row>
    <row r="170" spans="41:48" ht="15" hidden="1" customHeight="1">
      <c r="AO170" s="467"/>
      <c r="AP170" s="467"/>
      <c r="AQ170" s="467"/>
      <c r="AR170" s="467"/>
      <c r="AS170" s="467"/>
      <c r="AT170" s="467"/>
      <c r="AU170" s="467"/>
      <c r="AV170" s="467"/>
    </row>
    <row r="171" spans="41:48" ht="15" hidden="1" customHeight="1">
      <c r="AO171" s="467"/>
      <c r="AP171" s="467"/>
      <c r="AQ171" s="467"/>
      <c r="AR171" s="467"/>
      <c r="AS171" s="467"/>
      <c r="AT171" s="467"/>
      <c r="AU171" s="467"/>
      <c r="AV171" s="467"/>
    </row>
    <row r="172" spans="41:48" ht="15" hidden="1" customHeight="1">
      <c r="AO172" s="467"/>
      <c r="AP172" s="467"/>
      <c r="AQ172" s="467"/>
      <c r="AR172" s="467"/>
      <c r="AS172" s="467"/>
      <c r="AT172" s="467"/>
      <c r="AU172" s="467"/>
      <c r="AV172" s="467"/>
    </row>
    <row r="173" spans="41:48" ht="15" hidden="1" customHeight="1">
      <c r="AO173" s="467"/>
      <c r="AP173" s="467"/>
      <c r="AQ173" s="467"/>
      <c r="AR173" s="467"/>
      <c r="AS173" s="467"/>
      <c r="AT173" s="467"/>
      <c r="AU173" s="467"/>
      <c r="AV173" s="467"/>
    </row>
    <row r="174" spans="41:48" ht="15" hidden="1" customHeight="1">
      <c r="AO174" s="467"/>
      <c r="AP174" s="467"/>
      <c r="AQ174" s="467"/>
      <c r="AR174" s="467"/>
      <c r="AS174" s="467"/>
      <c r="AT174" s="467"/>
      <c r="AU174" s="467"/>
      <c r="AV174" s="467"/>
    </row>
    <row r="175" spans="41:48" ht="15" hidden="1" customHeight="1">
      <c r="AO175" s="467"/>
      <c r="AP175" s="467"/>
      <c r="AQ175" s="467"/>
      <c r="AR175" s="467"/>
      <c r="AS175" s="467"/>
      <c r="AT175" s="467"/>
      <c r="AU175" s="467"/>
      <c r="AV175" s="467"/>
    </row>
    <row r="176" spans="41:48" ht="15" hidden="1" customHeight="1">
      <c r="AO176" s="467"/>
      <c r="AP176" s="467"/>
      <c r="AQ176" s="467"/>
      <c r="AR176" s="467"/>
      <c r="AS176" s="467"/>
      <c r="AT176" s="467"/>
      <c r="AU176" s="467"/>
      <c r="AV176" s="467"/>
    </row>
    <row r="177" spans="1:48" ht="15" hidden="1" customHeight="1">
      <c r="AO177" s="467"/>
      <c r="AP177" s="467"/>
      <c r="AQ177" s="467"/>
      <c r="AR177" s="467"/>
      <c r="AS177" s="467"/>
      <c r="AT177" s="467"/>
      <c r="AU177" s="467"/>
      <c r="AV177" s="467"/>
    </row>
    <row r="178" spans="1:48" ht="15" hidden="1" customHeight="1">
      <c r="AO178" s="467"/>
      <c r="AP178" s="467"/>
      <c r="AQ178" s="467"/>
      <c r="AR178" s="467"/>
      <c r="AS178" s="467"/>
      <c r="AT178" s="467"/>
      <c r="AU178" s="467"/>
      <c r="AV178" s="467"/>
    </row>
    <row r="179" spans="1:48" ht="15" hidden="1" customHeight="1">
      <c r="A179" s="291"/>
      <c r="B179" s="291"/>
      <c r="C179" s="291"/>
      <c r="D179" s="291"/>
      <c r="E179" s="291"/>
      <c r="F179" s="291"/>
      <c r="G179" s="291"/>
      <c r="H179" s="301"/>
      <c r="I179" s="291"/>
      <c r="J179" s="291"/>
      <c r="K179" s="291"/>
      <c r="L179" s="301"/>
      <c r="M179" s="301"/>
      <c r="N179" s="291"/>
      <c r="O179" s="291"/>
      <c r="P179" s="291"/>
      <c r="Q179" s="291"/>
      <c r="R179" s="291"/>
      <c r="S179" s="291"/>
      <c r="T179" s="291"/>
      <c r="U179" s="291"/>
      <c r="V179" s="291"/>
      <c r="W179" s="266"/>
      <c r="X179" s="291"/>
      <c r="Y179" s="291"/>
      <c r="Z179" s="291"/>
      <c r="AA179" s="291"/>
      <c r="AB179" s="301"/>
      <c r="AC179" s="301"/>
      <c r="AD179" s="266"/>
      <c r="AE179" s="291"/>
      <c r="AF179" s="291"/>
      <c r="AG179" s="291"/>
      <c r="AH179" s="291"/>
      <c r="AI179" s="291"/>
      <c r="AJ179" s="291"/>
      <c r="AK179" s="266"/>
      <c r="AL179" s="301"/>
      <c r="AM179" s="301"/>
      <c r="AN179" s="291"/>
      <c r="AO179" s="460"/>
      <c r="AP179" s="460"/>
      <c r="AQ179" s="460"/>
      <c r="AR179" s="460"/>
      <c r="AS179" s="460"/>
    </row>
    <row r="180" spans="1:48" ht="15" hidden="1" customHeight="1">
      <c r="A180" s="317"/>
      <c r="B180" s="317"/>
      <c r="C180" s="317"/>
      <c r="D180" s="317"/>
      <c r="E180" s="317"/>
      <c r="F180" s="317"/>
      <c r="G180" s="317"/>
      <c r="H180" s="318"/>
      <c r="I180" s="317"/>
      <c r="J180" s="317"/>
      <c r="K180" s="317"/>
      <c r="L180" s="318"/>
      <c r="M180" s="318"/>
      <c r="N180" s="317"/>
      <c r="O180" s="317"/>
      <c r="P180" s="317"/>
      <c r="Q180" s="317"/>
      <c r="R180" s="317"/>
      <c r="S180" s="317"/>
      <c r="T180" s="317"/>
      <c r="U180" s="317"/>
      <c r="V180" s="317"/>
      <c r="X180" s="317"/>
      <c r="Y180" s="317"/>
      <c r="Z180" s="317"/>
      <c r="AA180" s="317"/>
      <c r="AB180" s="318"/>
      <c r="AC180" s="318"/>
      <c r="AE180" s="317"/>
      <c r="AF180" s="317"/>
      <c r="AG180" s="317"/>
      <c r="AH180" s="317"/>
      <c r="AI180" s="317"/>
      <c r="AJ180" s="317"/>
      <c r="AL180" s="318"/>
      <c r="AM180" s="318"/>
      <c r="AN180" s="317"/>
      <c r="AO180" s="463"/>
      <c r="AP180" s="463"/>
      <c r="AQ180" s="463"/>
      <c r="AR180" s="463"/>
      <c r="AS180" s="463"/>
      <c r="AT180" s="440"/>
      <c r="AU180" s="440"/>
      <c r="AV180" s="440"/>
    </row>
    <row r="181" spans="1:48" ht="15" hidden="1" customHeight="1">
      <c r="A181" s="317"/>
      <c r="B181" s="317"/>
      <c r="C181" s="317"/>
      <c r="D181" s="317"/>
      <c r="E181" s="317"/>
      <c r="F181" s="317"/>
      <c r="G181" s="317"/>
      <c r="H181" s="317"/>
      <c r="I181" s="317"/>
      <c r="J181" s="317"/>
      <c r="K181" s="317"/>
      <c r="L181" s="317"/>
      <c r="M181" s="317"/>
      <c r="N181" s="317"/>
      <c r="O181" s="317"/>
      <c r="P181" s="317"/>
      <c r="Q181" s="317"/>
      <c r="R181" s="317"/>
      <c r="S181" s="317"/>
      <c r="T181" s="317"/>
      <c r="U181" s="317"/>
      <c r="V181" s="317"/>
      <c r="X181" s="317"/>
      <c r="Y181" s="317"/>
      <c r="Z181" s="317"/>
      <c r="AA181" s="317"/>
      <c r="AB181" s="318"/>
      <c r="AC181" s="318"/>
      <c r="AE181" s="317"/>
      <c r="AF181" s="317"/>
      <c r="AG181" s="317"/>
      <c r="AH181" s="317"/>
      <c r="AI181" s="317"/>
      <c r="AJ181" s="317"/>
      <c r="AL181" s="318"/>
      <c r="AM181" s="318"/>
      <c r="AN181" s="317"/>
      <c r="AO181" s="460"/>
      <c r="AP181" s="460"/>
      <c r="AQ181" s="460"/>
      <c r="AR181" s="460"/>
      <c r="AS181" s="460"/>
    </row>
    <row r="182" spans="1:48" ht="15" hidden="1" customHeight="1">
      <c r="A182" s="317"/>
      <c r="B182" s="317"/>
      <c r="C182" s="317"/>
      <c r="D182" s="317"/>
      <c r="E182" s="317"/>
      <c r="F182" s="317"/>
      <c r="G182" s="317"/>
      <c r="H182" s="317"/>
      <c r="I182" s="317"/>
      <c r="J182" s="317"/>
      <c r="K182" s="317"/>
      <c r="L182" s="317"/>
      <c r="M182" s="317"/>
      <c r="N182" s="317"/>
      <c r="O182" s="317"/>
      <c r="P182" s="317"/>
      <c r="Q182" s="317"/>
      <c r="R182" s="317"/>
      <c r="S182" s="317"/>
      <c r="T182" s="317"/>
      <c r="U182" s="317"/>
      <c r="V182" s="317"/>
      <c r="X182" s="317"/>
      <c r="Y182" s="317"/>
      <c r="Z182" s="317"/>
      <c r="AA182" s="317"/>
      <c r="AB182" s="318"/>
      <c r="AC182" s="318"/>
      <c r="AE182" s="317"/>
      <c r="AF182" s="317"/>
      <c r="AG182" s="317"/>
      <c r="AH182" s="317"/>
      <c r="AI182" s="317"/>
      <c r="AJ182" s="317"/>
      <c r="AL182" s="318"/>
      <c r="AM182" s="318"/>
      <c r="AN182" s="317"/>
      <c r="AO182" s="463"/>
      <c r="AP182" s="463"/>
      <c r="AQ182" s="463"/>
      <c r="AR182" s="463"/>
      <c r="AS182" s="463"/>
      <c r="AT182" s="440"/>
      <c r="AU182" s="440"/>
      <c r="AV182" s="440"/>
    </row>
    <row r="183" spans="1:48" ht="15" hidden="1" customHeight="1">
      <c r="A183" s="317"/>
      <c r="B183" s="317"/>
      <c r="C183" s="317"/>
      <c r="D183" s="317"/>
      <c r="E183" s="317"/>
      <c r="F183" s="317"/>
      <c r="G183" s="317"/>
      <c r="H183" s="317"/>
      <c r="I183" s="317"/>
      <c r="J183" s="317"/>
      <c r="K183" s="317"/>
      <c r="L183" s="317"/>
      <c r="M183" s="317"/>
      <c r="N183" s="317"/>
      <c r="O183" s="317"/>
      <c r="P183" s="317"/>
      <c r="Q183" s="317"/>
      <c r="R183" s="317"/>
      <c r="S183" s="317"/>
      <c r="T183" s="317"/>
      <c r="U183" s="317"/>
      <c r="V183" s="317"/>
      <c r="X183" s="317"/>
      <c r="Y183" s="317"/>
      <c r="Z183" s="317"/>
      <c r="AA183" s="317"/>
      <c r="AB183" s="318"/>
      <c r="AC183" s="318"/>
      <c r="AE183" s="317"/>
      <c r="AF183" s="317"/>
      <c r="AG183" s="317"/>
      <c r="AH183" s="317"/>
      <c r="AI183" s="317"/>
      <c r="AJ183" s="317"/>
      <c r="AL183" s="318"/>
      <c r="AM183" s="318"/>
      <c r="AN183" s="317"/>
      <c r="AO183" s="460"/>
      <c r="AP183" s="460"/>
      <c r="AQ183" s="460"/>
      <c r="AR183" s="460"/>
      <c r="AS183" s="460"/>
    </row>
    <row r="184" spans="1:48" ht="15" hidden="1" customHeight="1">
      <c r="A184" s="317"/>
      <c r="B184" s="317"/>
      <c r="C184" s="317"/>
      <c r="D184" s="317"/>
      <c r="E184" s="317"/>
      <c r="F184" s="317"/>
      <c r="G184" s="317"/>
      <c r="H184" s="317"/>
      <c r="I184" s="317"/>
      <c r="J184" s="317"/>
      <c r="K184" s="317"/>
      <c r="L184" s="317"/>
      <c r="M184" s="317"/>
      <c r="N184" s="317"/>
      <c r="O184" s="317"/>
      <c r="P184" s="317"/>
      <c r="Q184" s="317"/>
      <c r="R184" s="317"/>
      <c r="S184" s="317"/>
      <c r="T184" s="317"/>
      <c r="U184" s="317"/>
      <c r="V184" s="317"/>
      <c r="X184" s="317"/>
      <c r="Y184" s="317"/>
      <c r="Z184" s="317"/>
      <c r="AA184" s="317"/>
      <c r="AB184" s="317"/>
      <c r="AC184" s="317"/>
      <c r="AE184" s="317"/>
      <c r="AF184" s="317"/>
      <c r="AG184" s="317"/>
      <c r="AH184" s="317"/>
      <c r="AI184" s="317"/>
      <c r="AJ184" s="317"/>
      <c r="AL184" s="318"/>
      <c r="AM184" s="318"/>
      <c r="AN184" s="317"/>
      <c r="AO184" s="463"/>
      <c r="AP184" s="463"/>
      <c r="AQ184" s="463"/>
      <c r="AR184" s="463"/>
      <c r="AS184" s="463"/>
      <c r="AT184" s="440"/>
      <c r="AU184" s="440"/>
      <c r="AV184" s="440"/>
    </row>
    <row r="185" spans="1:48" ht="15" hidden="1" customHeight="1">
      <c r="A185" s="318"/>
      <c r="B185" s="318"/>
      <c r="C185" s="264"/>
      <c r="D185" s="317"/>
      <c r="E185" s="317"/>
      <c r="F185" s="317"/>
      <c r="G185" s="318"/>
      <c r="H185" s="318"/>
      <c r="I185" s="318"/>
      <c r="J185" s="317"/>
      <c r="K185" s="317"/>
      <c r="L185" s="317"/>
      <c r="M185" s="318"/>
      <c r="N185" s="318"/>
      <c r="O185" s="264"/>
      <c r="P185" s="317"/>
      <c r="Q185" s="317"/>
      <c r="R185" s="317"/>
      <c r="S185" s="318"/>
      <c r="T185" s="318"/>
      <c r="U185" s="318"/>
      <c r="V185" s="317"/>
      <c r="X185" s="317"/>
      <c r="Y185" s="317"/>
      <c r="Z185" s="318"/>
      <c r="AA185" s="318"/>
      <c r="AB185" s="317"/>
      <c r="AC185" s="317"/>
      <c r="AE185" s="317"/>
      <c r="AF185" s="317"/>
      <c r="AG185" s="317"/>
      <c r="AH185" s="317"/>
      <c r="AI185" s="317"/>
      <c r="AJ185" s="317"/>
      <c r="AL185" s="318"/>
      <c r="AM185" s="318"/>
      <c r="AN185" s="317"/>
      <c r="AO185" s="460"/>
      <c r="AP185" s="460"/>
      <c r="AQ185" s="460"/>
      <c r="AR185" s="460"/>
      <c r="AS185" s="460"/>
    </row>
    <row r="186" spans="1:48" ht="15" hidden="1" customHeight="1">
      <c r="A186" s="318"/>
      <c r="B186" s="318"/>
      <c r="C186" s="264"/>
      <c r="D186" s="317"/>
      <c r="E186" s="317"/>
      <c r="F186" s="317"/>
      <c r="G186" s="318"/>
      <c r="H186" s="318"/>
      <c r="I186" s="318"/>
      <c r="J186" s="317"/>
      <c r="K186" s="317"/>
      <c r="L186" s="317"/>
      <c r="M186" s="318"/>
      <c r="N186" s="318"/>
      <c r="O186" s="264"/>
      <c r="P186" s="317"/>
      <c r="Q186" s="317"/>
      <c r="R186" s="317"/>
      <c r="S186" s="318"/>
      <c r="T186" s="318"/>
      <c r="U186" s="318"/>
      <c r="V186" s="317"/>
      <c r="X186" s="317"/>
      <c r="Y186" s="317"/>
      <c r="Z186" s="318"/>
      <c r="AA186" s="318"/>
      <c r="AB186" s="317"/>
      <c r="AC186" s="317"/>
      <c r="AE186" s="317"/>
      <c r="AF186" s="317"/>
      <c r="AG186" s="317"/>
      <c r="AH186" s="317"/>
      <c r="AI186" s="317"/>
      <c r="AJ186" s="317"/>
      <c r="AL186" s="317"/>
      <c r="AM186" s="317"/>
      <c r="AN186" s="317"/>
      <c r="AO186" s="463"/>
      <c r="AP186" s="463"/>
      <c r="AQ186" s="463"/>
      <c r="AR186" s="463"/>
      <c r="AS186" s="463"/>
      <c r="AT186" s="440"/>
      <c r="AU186" s="440"/>
      <c r="AV186" s="440"/>
    </row>
    <row r="187" spans="1:48" ht="15" hidden="1" customHeight="1">
      <c r="A187" s="318"/>
      <c r="B187" s="318"/>
      <c r="C187" s="264"/>
      <c r="D187" s="317"/>
      <c r="E187" s="317"/>
      <c r="F187" s="317"/>
      <c r="G187" s="318"/>
      <c r="H187" s="318"/>
      <c r="I187" s="318"/>
      <c r="J187" s="317"/>
      <c r="K187" s="317"/>
      <c r="L187" s="317"/>
      <c r="M187" s="318"/>
      <c r="N187" s="318"/>
      <c r="O187" s="264"/>
      <c r="P187" s="317"/>
      <c r="Q187" s="317"/>
      <c r="R187" s="317"/>
      <c r="S187" s="318"/>
      <c r="T187" s="318"/>
      <c r="U187" s="318"/>
      <c r="V187" s="317"/>
      <c r="X187" s="317"/>
      <c r="Y187" s="317"/>
      <c r="Z187" s="318"/>
      <c r="AA187" s="318"/>
      <c r="AB187" s="317"/>
      <c r="AC187" s="317"/>
      <c r="AE187" s="317"/>
      <c r="AF187" s="317"/>
      <c r="AG187" s="317"/>
      <c r="AH187" s="317"/>
      <c r="AI187" s="317"/>
      <c r="AJ187" s="317"/>
      <c r="AL187" s="317"/>
      <c r="AM187" s="317"/>
      <c r="AN187" s="317"/>
      <c r="AO187" s="460"/>
      <c r="AP187" s="460"/>
      <c r="AQ187" s="460"/>
      <c r="AR187" s="460"/>
      <c r="AS187" s="460"/>
    </row>
    <row r="188" spans="1:48" ht="15" hidden="1" customHeight="1">
      <c r="A188" s="317"/>
      <c r="B188" s="318"/>
      <c r="C188" s="318"/>
      <c r="D188" s="317"/>
      <c r="E188" s="317"/>
      <c r="F188" s="317"/>
      <c r="G188" s="317"/>
      <c r="H188" s="317"/>
      <c r="I188" s="317"/>
      <c r="J188" s="317"/>
      <c r="K188" s="317"/>
      <c r="L188" s="317"/>
      <c r="M188" s="317"/>
      <c r="N188" s="317"/>
      <c r="O188" s="318"/>
      <c r="P188" s="318"/>
      <c r="Q188" s="317"/>
      <c r="R188" s="317"/>
      <c r="S188" s="317"/>
      <c r="T188" s="317"/>
      <c r="U188" s="317"/>
      <c r="V188" s="317"/>
      <c r="X188" s="317"/>
      <c r="Y188" s="317"/>
      <c r="Z188" s="317"/>
      <c r="AA188" s="317"/>
      <c r="AB188" s="317"/>
      <c r="AC188" s="317"/>
      <c r="AE188" s="317"/>
      <c r="AF188" s="317"/>
      <c r="AG188" s="317"/>
      <c r="AH188" s="317"/>
      <c r="AI188" s="317"/>
      <c r="AJ188" s="317"/>
      <c r="AL188" s="318"/>
      <c r="AM188" s="318"/>
      <c r="AN188" s="317"/>
      <c r="AO188" s="463"/>
      <c r="AP188" s="463"/>
      <c r="AQ188" s="463"/>
      <c r="AR188" s="463"/>
      <c r="AS188" s="463"/>
      <c r="AT188" s="440"/>
      <c r="AU188" s="440"/>
      <c r="AV188" s="440"/>
    </row>
    <row r="189" spans="1:48" ht="15" hidden="1" customHeight="1">
      <c r="A189" s="317"/>
      <c r="B189" s="317"/>
      <c r="C189" s="317"/>
      <c r="D189" s="317"/>
      <c r="E189" s="317"/>
      <c r="F189" s="317"/>
      <c r="G189" s="317"/>
      <c r="H189" s="317"/>
      <c r="I189" s="317"/>
      <c r="J189" s="317"/>
      <c r="K189" s="317"/>
      <c r="L189" s="317"/>
      <c r="M189" s="317"/>
      <c r="N189" s="317"/>
      <c r="O189" s="317"/>
      <c r="P189" s="317"/>
      <c r="Q189" s="317"/>
      <c r="R189" s="317"/>
      <c r="S189" s="317"/>
      <c r="T189" s="317"/>
      <c r="U189" s="317"/>
      <c r="V189" s="317"/>
      <c r="X189" s="317"/>
      <c r="Y189" s="317"/>
      <c r="Z189" s="317"/>
      <c r="AA189" s="317"/>
      <c r="AB189" s="317"/>
      <c r="AC189" s="317"/>
      <c r="AE189" s="317"/>
      <c r="AF189" s="317"/>
      <c r="AG189" s="317"/>
      <c r="AH189" s="317"/>
      <c r="AI189" s="317"/>
      <c r="AJ189" s="317"/>
      <c r="AL189" s="318"/>
      <c r="AM189" s="318"/>
      <c r="AN189" s="317"/>
      <c r="AO189" s="460"/>
      <c r="AP189" s="460"/>
      <c r="AQ189" s="460"/>
      <c r="AR189" s="460"/>
      <c r="AS189" s="460"/>
    </row>
    <row r="190" spans="1:48" ht="15" hidden="1" customHeight="1">
      <c r="A190" s="317"/>
      <c r="B190" s="317"/>
      <c r="C190" s="317"/>
      <c r="D190" s="264"/>
      <c r="E190" s="317"/>
      <c r="F190" s="317"/>
      <c r="G190" s="317"/>
      <c r="H190" s="317"/>
      <c r="I190" s="318"/>
      <c r="J190" s="318"/>
      <c r="K190" s="317"/>
      <c r="L190" s="317"/>
      <c r="M190" s="317"/>
      <c r="N190" s="317"/>
      <c r="O190" s="317"/>
      <c r="P190" s="317"/>
      <c r="Q190" s="264"/>
      <c r="R190" s="317"/>
      <c r="S190" s="317"/>
      <c r="T190" s="317"/>
      <c r="U190" s="317"/>
      <c r="V190" s="318"/>
      <c r="X190" s="318"/>
      <c r="Y190" s="317"/>
      <c r="Z190" s="317"/>
      <c r="AA190" s="317"/>
      <c r="AB190" s="317"/>
      <c r="AC190" s="317"/>
      <c r="AE190" s="317"/>
      <c r="AF190" s="317"/>
      <c r="AG190" s="317"/>
      <c r="AH190" s="317"/>
      <c r="AI190" s="317"/>
      <c r="AJ190" s="317"/>
      <c r="AL190" s="318"/>
      <c r="AM190" s="318"/>
      <c r="AN190" s="317"/>
      <c r="AO190" s="463"/>
      <c r="AP190" s="463"/>
      <c r="AQ190" s="463"/>
      <c r="AR190" s="463"/>
      <c r="AS190" s="463"/>
      <c r="AT190" s="440"/>
      <c r="AU190" s="241"/>
      <c r="AV190" s="440"/>
    </row>
    <row r="191" spans="1:48" ht="15" hidden="1" customHeight="1">
      <c r="A191" s="317"/>
      <c r="B191" s="317"/>
      <c r="C191" s="317"/>
      <c r="D191" s="317"/>
      <c r="E191" s="317"/>
      <c r="F191" s="317"/>
      <c r="G191" s="317"/>
      <c r="H191" s="317"/>
      <c r="I191" s="317"/>
      <c r="J191" s="317"/>
      <c r="K191" s="317"/>
      <c r="L191" s="317"/>
      <c r="M191" s="317"/>
      <c r="N191" s="317"/>
      <c r="O191" s="317"/>
      <c r="P191" s="317"/>
      <c r="Q191" s="317"/>
      <c r="R191" s="317"/>
      <c r="S191" s="317"/>
      <c r="T191" s="317"/>
      <c r="U191" s="317"/>
      <c r="V191" s="317"/>
      <c r="X191" s="317"/>
      <c r="Y191" s="317"/>
      <c r="Z191" s="317"/>
      <c r="AA191" s="317"/>
      <c r="AB191" s="317"/>
      <c r="AC191" s="317"/>
      <c r="AE191" s="317"/>
      <c r="AF191" s="317"/>
      <c r="AG191" s="317"/>
      <c r="AH191" s="317"/>
      <c r="AI191" s="317"/>
      <c r="AJ191" s="317"/>
      <c r="AL191" s="318"/>
      <c r="AM191" s="318"/>
      <c r="AN191" s="317"/>
      <c r="AO191" s="460"/>
      <c r="AP191" s="460"/>
      <c r="AQ191" s="460"/>
      <c r="AR191" s="460"/>
      <c r="AS191" s="460"/>
    </row>
    <row r="192" spans="1:48" ht="15" hidden="1" customHeight="1">
      <c r="A192" s="318"/>
      <c r="B192" s="318"/>
      <c r="C192" s="264"/>
      <c r="D192" s="317"/>
      <c r="E192" s="317"/>
      <c r="F192" s="317"/>
      <c r="G192" s="318"/>
      <c r="H192" s="318"/>
      <c r="I192" s="318"/>
      <c r="J192" s="317"/>
      <c r="K192" s="317"/>
      <c r="L192" s="317"/>
      <c r="M192" s="318"/>
      <c r="N192" s="318"/>
      <c r="O192" s="317"/>
      <c r="P192" s="317"/>
      <c r="Q192" s="317"/>
      <c r="R192" s="317"/>
      <c r="S192" s="317"/>
      <c r="T192" s="317"/>
      <c r="U192" s="317"/>
      <c r="V192" s="317"/>
      <c r="X192" s="317"/>
      <c r="Y192" s="317"/>
      <c r="Z192" s="317"/>
      <c r="AA192" s="317"/>
      <c r="AB192" s="317"/>
      <c r="AC192" s="317"/>
      <c r="AE192" s="317"/>
      <c r="AF192" s="317"/>
      <c r="AG192" s="317"/>
      <c r="AH192" s="317"/>
      <c r="AI192" s="317"/>
      <c r="AJ192" s="317"/>
      <c r="AL192" s="318"/>
      <c r="AM192" s="318"/>
      <c r="AN192" s="317"/>
      <c r="AO192" s="463"/>
      <c r="AP192" s="463"/>
      <c r="AQ192" s="463"/>
      <c r="AR192" s="463"/>
      <c r="AS192" s="463"/>
      <c r="AT192" s="440"/>
      <c r="AU192" s="440"/>
      <c r="AV192" s="440"/>
    </row>
    <row r="193" spans="1:48" ht="15" hidden="1" customHeight="1">
      <c r="A193" s="318"/>
      <c r="B193" s="318"/>
      <c r="C193" s="264"/>
      <c r="D193" s="317"/>
      <c r="E193" s="317"/>
      <c r="F193" s="317"/>
      <c r="G193" s="318"/>
      <c r="H193" s="318"/>
      <c r="I193" s="318"/>
      <c r="J193" s="317"/>
      <c r="K193" s="317"/>
      <c r="L193" s="317"/>
      <c r="M193" s="318"/>
      <c r="N193" s="318"/>
      <c r="O193" s="317"/>
      <c r="P193" s="317"/>
      <c r="Q193" s="317"/>
      <c r="R193" s="317"/>
      <c r="S193" s="317"/>
      <c r="T193" s="317"/>
      <c r="U193" s="317"/>
      <c r="V193" s="317"/>
      <c r="X193" s="317"/>
      <c r="Y193" s="317"/>
      <c r="Z193" s="317"/>
      <c r="AA193" s="317"/>
      <c r="AB193" s="317"/>
      <c r="AC193" s="317"/>
      <c r="AE193" s="317"/>
      <c r="AF193" s="317"/>
      <c r="AG193" s="317"/>
      <c r="AH193" s="317"/>
      <c r="AI193" s="317"/>
      <c r="AJ193" s="317"/>
      <c r="AL193" s="318"/>
      <c r="AM193" s="318"/>
      <c r="AN193" s="317"/>
      <c r="AO193" s="460"/>
      <c r="AP193" s="460"/>
      <c r="AQ193" s="460"/>
      <c r="AR193" s="460"/>
      <c r="AS193" s="460"/>
    </row>
    <row r="194" spans="1:48" ht="15" hidden="1" customHeight="1">
      <c r="A194" s="317"/>
      <c r="B194" s="317"/>
      <c r="C194" s="317"/>
      <c r="D194" s="317"/>
      <c r="E194" s="317"/>
      <c r="F194" s="317"/>
      <c r="G194" s="317"/>
      <c r="H194" s="317"/>
      <c r="I194" s="317"/>
      <c r="J194" s="317"/>
      <c r="K194" s="317"/>
      <c r="L194" s="317"/>
      <c r="M194" s="317"/>
      <c r="N194" s="317"/>
      <c r="O194" s="317"/>
      <c r="P194" s="317"/>
      <c r="Q194" s="317"/>
      <c r="R194" s="317"/>
      <c r="S194" s="317"/>
      <c r="T194" s="317"/>
      <c r="U194" s="317"/>
      <c r="V194" s="317"/>
      <c r="X194" s="317"/>
      <c r="Y194" s="317"/>
      <c r="Z194" s="317"/>
      <c r="AA194" s="317"/>
      <c r="AB194" s="317"/>
      <c r="AC194" s="317"/>
      <c r="AE194" s="317"/>
      <c r="AF194" s="317"/>
      <c r="AG194" s="317"/>
      <c r="AH194" s="317"/>
      <c r="AI194" s="317"/>
      <c r="AJ194" s="317"/>
      <c r="AL194" s="318"/>
      <c r="AM194" s="318"/>
      <c r="AN194" s="317"/>
      <c r="AO194" s="463"/>
      <c r="AP194" s="463"/>
      <c r="AQ194" s="463"/>
      <c r="AR194" s="463"/>
      <c r="AS194" s="463"/>
      <c r="AT194" s="440"/>
      <c r="AU194" s="440"/>
      <c r="AV194" s="440"/>
    </row>
    <row r="195" spans="1:48" ht="15" hidden="1" customHeight="1">
      <c r="A195" s="317"/>
      <c r="B195" s="317"/>
      <c r="C195" s="317"/>
      <c r="D195" s="317"/>
      <c r="E195" s="317"/>
      <c r="F195" s="317"/>
      <c r="G195" s="317"/>
      <c r="H195" s="317"/>
      <c r="I195" s="317"/>
      <c r="J195" s="317"/>
      <c r="K195" s="317"/>
      <c r="L195" s="317"/>
      <c r="M195" s="317"/>
      <c r="N195" s="317"/>
      <c r="O195" s="317"/>
      <c r="P195" s="317"/>
      <c r="Q195" s="317"/>
      <c r="R195" s="317"/>
      <c r="S195" s="317"/>
      <c r="T195" s="317"/>
      <c r="U195" s="317"/>
      <c r="V195" s="317"/>
      <c r="X195" s="317"/>
      <c r="Y195" s="317"/>
      <c r="Z195" s="317"/>
      <c r="AA195" s="317"/>
      <c r="AB195" s="317"/>
      <c r="AC195" s="317"/>
      <c r="AE195" s="317"/>
      <c r="AF195" s="317"/>
      <c r="AG195" s="317"/>
      <c r="AH195" s="317"/>
      <c r="AI195" s="317"/>
      <c r="AJ195" s="317"/>
      <c r="AL195" s="318"/>
      <c r="AM195" s="318"/>
      <c r="AN195" s="317"/>
      <c r="AO195" s="460"/>
      <c r="AP195" s="460"/>
      <c r="AQ195" s="460"/>
      <c r="AR195" s="460"/>
      <c r="AS195" s="460"/>
    </row>
    <row r="196" spans="1:48" ht="15" hidden="1" customHeight="1">
      <c r="A196" s="317"/>
      <c r="B196" s="317"/>
      <c r="C196" s="317"/>
      <c r="D196" s="317"/>
      <c r="E196" s="317"/>
      <c r="F196" s="317"/>
      <c r="G196" s="317"/>
      <c r="H196" s="317"/>
      <c r="I196" s="317"/>
      <c r="J196" s="317"/>
      <c r="K196" s="317"/>
      <c r="L196" s="317"/>
      <c r="M196" s="317"/>
      <c r="N196" s="317"/>
      <c r="O196" s="317"/>
      <c r="P196" s="317"/>
      <c r="Q196" s="317"/>
      <c r="R196" s="317"/>
      <c r="S196" s="317"/>
      <c r="T196" s="317"/>
      <c r="U196" s="317"/>
      <c r="V196" s="317"/>
      <c r="X196" s="317"/>
      <c r="Y196" s="317"/>
      <c r="Z196" s="317"/>
      <c r="AA196" s="317"/>
      <c r="AB196" s="317"/>
      <c r="AC196" s="317"/>
      <c r="AE196" s="317"/>
      <c r="AF196" s="317"/>
      <c r="AG196" s="317"/>
      <c r="AH196" s="317"/>
      <c r="AI196" s="317"/>
      <c r="AJ196" s="317"/>
      <c r="AL196" s="318"/>
      <c r="AM196" s="318"/>
      <c r="AN196" s="317"/>
      <c r="AO196" s="463"/>
      <c r="AP196" s="463"/>
      <c r="AQ196" s="463"/>
      <c r="AR196" s="463"/>
      <c r="AS196" s="463"/>
      <c r="AT196" s="440"/>
      <c r="AU196" s="440"/>
      <c r="AV196" s="440"/>
    </row>
    <row r="197" spans="1:48" ht="15" hidden="1" customHeight="1">
      <c r="A197" s="317"/>
      <c r="B197" s="317"/>
      <c r="C197" s="317"/>
      <c r="D197" s="317"/>
      <c r="E197" s="317"/>
      <c r="F197" s="317"/>
      <c r="G197" s="317"/>
      <c r="H197" s="317"/>
      <c r="I197" s="317"/>
      <c r="J197" s="317"/>
      <c r="K197" s="317"/>
      <c r="L197" s="317"/>
      <c r="M197" s="317"/>
      <c r="N197" s="317"/>
      <c r="O197" s="317"/>
      <c r="P197" s="317"/>
      <c r="Q197" s="317"/>
      <c r="R197" s="317"/>
      <c r="S197" s="317"/>
      <c r="T197" s="317"/>
      <c r="U197" s="317"/>
      <c r="V197" s="317"/>
      <c r="X197" s="317"/>
      <c r="Y197" s="317"/>
      <c r="Z197" s="317"/>
      <c r="AA197" s="317"/>
      <c r="AB197" s="317"/>
      <c r="AC197" s="317"/>
      <c r="AE197" s="317"/>
      <c r="AF197" s="317"/>
      <c r="AG197" s="317"/>
      <c r="AH197" s="317"/>
      <c r="AI197" s="317"/>
      <c r="AJ197" s="317"/>
      <c r="AL197" s="318"/>
      <c r="AM197" s="318"/>
      <c r="AN197" s="317"/>
      <c r="AO197" s="460"/>
      <c r="AP197" s="460"/>
      <c r="AQ197" s="460"/>
      <c r="AR197" s="460"/>
      <c r="AS197" s="460"/>
    </row>
    <row r="198" spans="1:48" ht="15" hidden="1" customHeight="1">
      <c r="A198" s="317"/>
      <c r="B198" s="317"/>
      <c r="C198" s="317"/>
      <c r="D198" s="317"/>
      <c r="E198" s="317"/>
      <c r="F198" s="317"/>
      <c r="G198" s="317"/>
      <c r="H198" s="317"/>
      <c r="I198" s="317"/>
      <c r="J198" s="317"/>
      <c r="K198" s="317"/>
      <c r="L198" s="317"/>
      <c r="M198" s="317"/>
      <c r="N198" s="317"/>
      <c r="O198" s="317"/>
      <c r="P198" s="317"/>
      <c r="Q198" s="317"/>
      <c r="R198" s="317"/>
      <c r="S198" s="317"/>
      <c r="T198" s="317"/>
      <c r="U198" s="317"/>
      <c r="V198" s="317"/>
      <c r="X198" s="317"/>
      <c r="Y198" s="317"/>
      <c r="Z198" s="317"/>
      <c r="AA198" s="317"/>
      <c r="AB198" s="317"/>
      <c r="AC198" s="317"/>
      <c r="AE198" s="317"/>
      <c r="AF198" s="317"/>
      <c r="AG198" s="317"/>
      <c r="AH198" s="317"/>
      <c r="AI198" s="317"/>
      <c r="AJ198" s="317"/>
      <c r="AL198" s="318"/>
      <c r="AM198" s="318"/>
      <c r="AN198" s="317"/>
      <c r="AO198" s="463"/>
      <c r="AP198" s="463"/>
      <c r="AQ198" s="463"/>
      <c r="AR198" s="463"/>
      <c r="AS198" s="463"/>
      <c r="AT198" s="440"/>
      <c r="AU198" s="440"/>
      <c r="AV198" s="440"/>
    </row>
    <row r="199" spans="1:48" ht="15" hidden="1" customHeight="1">
      <c r="A199" s="317"/>
      <c r="B199" s="317"/>
      <c r="C199" s="317"/>
      <c r="D199" s="317"/>
      <c r="E199" s="317"/>
      <c r="F199" s="317"/>
      <c r="G199" s="317"/>
      <c r="H199" s="317"/>
      <c r="I199" s="317"/>
      <c r="J199" s="317"/>
      <c r="K199" s="317"/>
      <c r="L199" s="317"/>
      <c r="M199" s="317"/>
      <c r="N199" s="317"/>
      <c r="O199" s="317"/>
      <c r="P199" s="317"/>
      <c r="Q199" s="317"/>
      <c r="R199" s="317"/>
      <c r="S199" s="317"/>
      <c r="T199" s="317"/>
      <c r="U199" s="317"/>
      <c r="V199" s="317"/>
      <c r="X199" s="317"/>
      <c r="Y199" s="317"/>
      <c r="Z199" s="317"/>
      <c r="AA199" s="317"/>
      <c r="AB199" s="317"/>
      <c r="AC199" s="317"/>
      <c r="AE199" s="317"/>
      <c r="AF199" s="317"/>
      <c r="AG199" s="317"/>
      <c r="AH199" s="317"/>
      <c r="AI199" s="317"/>
      <c r="AJ199" s="317"/>
      <c r="AL199" s="318"/>
      <c r="AM199" s="318"/>
      <c r="AN199" s="317"/>
      <c r="AO199" s="460"/>
      <c r="AP199" s="460"/>
      <c r="AQ199" s="460"/>
      <c r="AR199" s="460"/>
      <c r="AS199" s="460"/>
    </row>
    <row r="200" spans="1:48" ht="15" hidden="1" customHeight="1">
      <c r="A200" s="317"/>
      <c r="B200" s="317"/>
      <c r="C200" s="317"/>
      <c r="D200" s="317"/>
      <c r="E200" s="317"/>
      <c r="F200" s="317"/>
      <c r="G200" s="317"/>
      <c r="H200" s="317"/>
      <c r="I200" s="317"/>
      <c r="J200" s="317"/>
      <c r="K200" s="317"/>
      <c r="L200" s="317"/>
      <c r="M200" s="317"/>
      <c r="N200" s="317"/>
      <c r="O200" s="317"/>
      <c r="P200" s="317"/>
      <c r="Q200" s="317"/>
      <c r="R200" s="317"/>
      <c r="S200" s="317"/>
      <c r="T200" s="317"/>
      <c r="U200" s="317"/>
      <c r="V200" s="317"/>
      <c r="X200" s="317"/>
      <c r="Y200" s="317"/>
      <c r="Z200" s="317"/>
      <c r="AA200" s="317"/>
      <c r="AB200" s="317"/>
      <c r="AC200" s="317"/>
      <c r="AE200" s="317"/>
      <c r="AF200" s="317"/>
      <c r="AG200" s="317"/>
      <c r="AH200" s="317"/>
      <c r="AI200" s="317"/>
      <c r="AJ200" s="317"/>
      <c r="AL200" s="318"/>
      <c r="AM200" s="318"/>
      <c r="AN200" s="317"/>
      <c r="AO200" s="463"/>
      <c r="AP200" s="463"/>
      <c r="AQ200" s="463"/>
      <c r="AR200" s="463"/>
      <c r="AS200" s="463"/>
      <c r="AT200" s="440"/>
      <c r="AU200" s="440"/>
      <c r="AV200" s="440"/>
    </row>
    <row r="201" spans="1:48" ht="15" hidden="1" customHeight="1">
      <c r="A201" s="317"/>
      <c r="B201" s="317"/>
      <c r="C201" s="317"/>
      <c r="D201" s="317"/>
      <c r="E201" s="317"/>
      <c r="F201" s="317"/>
      <c r="G201" s="317"/>
      <c r="H201" s="317"/>
      <c r="I201" s="317"/>
      <c r="J201" s="317"/>
      <c r="K201" s="317"/>
      <c r="L201" s="317"/>
      <c r="M201" s="317"/>
      <c r="N201" s="317"/>
      <c r="O201" s="317"/>
      <c r="P201" s="317"/>
      <c r="Q201" s="317"/>
      <c r="R201" s="317"/>
      <c r="S201" s="317"/>
      <c r="T201" s="317"/>
      <c r="U201" s="317"/>
      <c r="V201" s="317"/>
      <c r="X201" s="317"/>
      <c r="Y201" s="317"/>
      <c r="Z201" s="317"/>
      <c r="AA201" s="317"/>
      <c r="AB201" s="317"/>
      <c r="AC201" s="317"/>
      <c r="AE201" s="317"/>
      <c r="AF201" s="317"/>
      <c r="AG201" s="317"/>
      <c r="AH201" s="317"/>
      <c r="AI201" s="317"/>
      <c r="AJ201" s="317"/>
      <c r="AL201" s="318"/>
      <c r="AM201" s="318"/>
      <c r="AN201" s="317"/>
      <c r="AO201" s="460"/>
      <c r="AP201" s="460"/>
      <c r="AQ201" s="460"/>
      <c r="AR201" s="460"/>
      <c r="AS201" s="460"/>
    </row>
    <row r="202" spans="1:48" ht="15" hidden="1" customHeight="1">
      <c r="A202" s="264"/>
      <c r="B202" s="317"/>
      <c r="C202" s="317"/>
      <c r="D202" s="317"/>
      <c r="E202" s="318"/>
      <c r="F202" s="318"/>
      <c r="G202" s="318"/>
      <c r="H202" s="318"/>
      <c r="I202" s="317"/>
      <c r="J202" s="317"/>
      <c r="K202" s="317"/>
      <c r="L202" s="318"/>
      <c r="M202" s="318"/>
      <c r="N202" s="318"/>
      <c r="O202" s="317"/>
      <c r="P202" s="317"/>
      <c r="Q202" s="317"/>
      <c r="R202" s="318"/>
      <c r="S202" s="318"/>
      <c r="T202" s="318"/>
      <c r="U202" s="318"/>
      <c r="V202" s="317"/>
      <c r="X202" s="317"/>
      <c r="Y202" s="317"/>
      <c r="Z202" s="318"/>
      <c r="AA202" s="318"/>
      <c r="AB202" s="264"/>
      <c r="AC202" s="264"/>
      <c r="AE202" s="317"/>
      <c r="AF202" s="317"/>
      <c r="AG202" s="317"/>
      <c r="AH202" s="317"/>
      <c r="AI202" s="317"/>
      <c r="AJ202" s="317"/>
      <c r="AL202" s="317"/>
      <c r="AM202" s="317"/>
      <c r="AN202" s="317"/>
      <c r="AO202" s="463"/>
      <c r="AP202" s="463"/>
      <c r="AQ202" s="463"/>
      <c r="AR202" s="463"/>
      <c r="AS202" s="463"/>
      <c r="AT202" s="440"/>
      <c r="AU202" s="440"/>
      <c r="AV202" s="440"/>
    </row>
    <row r="203" spans="1:48" ht="15" hidden="1" customHeight="1">
      <c r="A203" s="318"/>
      <c r="B203" s="318"/>
      <c r="C203" s="317"/>
      <c r="D203" s="317"/>
      <c r="E203" s="318"/>
      <c r="F203" s="318"/>
      <c r="G203" s="318"/>
      <c r="H203" s="318"/>
      <c r="I203" s="318"/>
      <c r="J203" s="318"/>
      <c r="K203" s="318"/>
      <c r="L203" s="318"/>
      <c r="M203" s="318"/>
      <c r="N203" s="318"/>
      <c r="O203" s="318"/>
      <c r="P203" s="317"/>
      <c r="Q203" s="317"/>
      <c r="R203" s="318"/>
      <c r="S203" s="318"/>
      <c r="T203" s="318"/>
      <c r="U203" s="318"/>
      <c r="V203" s="318"/>
      <c r="X203" s="317"/>
      <c r="Y203" s="317"/>
      <c r="Z203" s="317"/>
      <c r="AA203" s="318"/>
      <c r="AB203" s="318"/>
      <c r="AC203" s="318"/>
      <c r="AE203" s="318"/>
      <c r="AF203" s="317"/>
      <c r="AG203" s="317"/>
      <c r="AH203" s="317"/>
      <c r="AI203" s="317"/>
      <c r="AJ203" s="317"/>
      <c r="AL203" s="318"/>
      <c r="AM203" s="318"/>
      <c r="AN203" s="317"/>
      <c r="AO203" s="460"/>
      <c r="AP203" s="460"/>
      <c r="AQ203" s="460"/>
      <c r="AR203" s="460"/>
      <c r="AS203" s="460"/>
    </row>
    <row r="204" spans="1:48" ht="3" hidden="1" customHeight="1">
      <c r="A204" s="317"/>
      <c r="B204" s="317"/>
      <c r="C204" s="317"/>
      <c r="D204" s="317"/>
      <c r="E204" s="317"/>
      <c r="F204" s="317"/>
      <c r="G204" s="317"/>
      <c r="H204" s="317"/>
      <c r="I204" s="317"/>
      <c r="J204" s="317"/>
      <c r="K204" s="317"/>
      <c r="L204" s="317"/>
      <c r="M204" s="317"/>
      <c r="N204" s="317"/>
      <c r="O204" s="317"/>
      <c r="P204" s="317"/>
      <c r="Q204" s="317"/>
      <c r="R204" s="317"/>
      <c r="S204" s="317"/>
      <c r="T204" s="317"/>
      <c r="U204" s="317"/>
      <c r="V204" s="317"/>
      <c r="X204" s="317"/>
      <c r="Y204" s="317"/>
      <c r="Z204" s="317"/>
      <c r="AA204" s="317"/>
      <c r="AB204" s="317"/>
      <c r="AC204" s="317"/>
      <c r="AE204" s="317"/>
      <c r="AF204" s="317"/>
      <c r="AG204" s="317"/>
      <c r="AH204" s="317"/>
      <c r="AI204" s="317"/>
      <c r="AJ204" s="317"/>
      <c r="AL204" s="317"/>
      <c r="AM204" s="317"/>
      <c r="AN204" s="317"/>
      <c r="AO204" s="463"/>
      <c r="AP204" s="463"/>
      <c r="AQ204" s="463"/>
      <c r="AR204" s="463"/>
      <c r="AS204" s="463"/>
      <c r="AT204" s="440"/>
      <c r="AU204" s="440"/>
      <c r="AV204" s="440"/>
    </row>
    <row r="205" spans="1:48" ht="15" hidden="1" customHeight="1">
      <c r="A205" s="317"/>
      <c r="B205" s="317"/>
      <c r="C205" s="319"/>
      <c r="D205" s="319"/>
      <c r="E205" s="319"/>
      <c r="F205" s="319"/>
      <c r="G205" s="319"/>
      <c r="H205" s="319"/>
      <c r="I205" s="317"/>
      <c r="J205" s="317"/>
      <c r="K205" s="317"/>
      <c r="L205" s="317"/>
      <c r="M205" s="317"/>
      <c r="N205" s="317"/>
      <c r="O205" s="317"/>
      <c r="P205" s="317"/>
      <c r="Q205" s="317"/>
      <c r="R205" s="317"/>
      <c r="S205" s="317"/>
      <c r="T205" s="317"/>
      <c r="U205" s="317"/>
      <c r="V205" s="317"/>
      <c r="X205" s="317"/>
      <c r="Y205" s="317"/>
      <c r="Z205" s="317"/>
      <c r="AA205" s="317"/>
      <c r="AB205" s="317"/>
      <c r="AC205" s="317"/>
      <c r="AE205" s="317"/>
      <c r="AF205" s="317"/>
      <c r="AG205" s="319"/>
      <c r="AH205" s="319"/>
      <c r="AI205" s="319"/>
      <c r="AJ205" s="319"/>
      <c r="AL205" s="318"/>
      <c r="AM205" s="318"/>
      <c r="AN205" s="317"/>
      <c r="AO205" s="460"/>
      <c r="AP205" s="460"/>
      <c r="AQ205" s="460"/>
      <c r="AR205" s="460"/>
      <c r="AS205" s="460"/>
    </row>
    <row r="206" spans="1:48" ht="15" hidden="1" customHeight="1">
      <c r="A206" s="317"/>
      <c r="D206" s="319"/>
      <c r="E206" s="319"/>
      <c r="F206" s="319"/>
      <c r="G206" s="319"/>
      <c r="J206" s="318"/>
      <c r="K206" s="317"/>
      <c r="L206" s="317"/>
      <c r="M206" s="317"/>
      <c r="N206" s="318"/>
      <c r="O206" s="318"/>
      <c r="P206" s="317"/>
      <c r="Q206" s="317"/>
      <c r="R206" s="317"/>
      <c r="S206" s="317"/>
      <c r="T206" s="317"/>
      <c r="U206" s="317"/>
      <c r="V206" s="317"/>
      <c r="X206" s="317"/>
      <c r="Y206" s="318"/>
      <c r="Z206" s="318"/>
      <c r="AA206" s="318"/>
      <c r="AB206" s="317"/>
      <c r="AC206" s="317"/>
      <c r="AG206" s="319"/>
      <c r="AH206" s="319"/>
      <c r="AI206" s="319"/>
      <c r="AJ206" s="319"/>
      <c r="AN206" s="318"/>
      <c r="AO206" s="463"/>
      <c r="AP206" s="463"/>
      <c r="AQ206" s="463"/>
      <c r="AR206" s="468"/>
      <c r="AS206" s="468"/>
      <c r="AT206" s="440"/>
      <c r="AU206" s="440"/>
      <c r="AV206" s="440"/>
    </row>
    <row r="207" spans="1:48" ht="15" hidden="1" customHeight="1">
      <c r="A207" s="317"/>
      <c r="B207" s="317"/>
      <c r="D207" s="319"/>
      <c r="E207" s="319"/>
      <c r="F207" s="319"/>
      <c r="G207" s="319"/>
      <c r="J207" s="318"/>
      <c r="K207" s="317"/>
      <c r="L207" s="317"/>
      <c r="M207" s="317"/>
      <c r="N207" s="318"/>
      <c r="O207" s="318"/>
      <c r="P207" s="317"/>
      <c r="Q207" s="317"/>
      <c r="R207" s="317"/>
      <c r="S207" s="317"/>
      <c r="T207" s="317"/>
      <c r="U207" s="317"/>
      <c r="V207" s="317"/>
      <c r="X207" s="317"/>
      <c r="Y207" s="318"/>
      <c r="Z207" s="318"/>
      <c r="AA207" s="318"/>
      <c r="AB207" s="317"/>
      <c r="AC207" s="317"/>
      <c r="AE207" s="317"/>
      <c r="AG207" s="319"/>
      <c r="AH207" s="319"/>
      <c r="AI207" s="319"/>
      <c r="AJ207" s="319"/>
      <c r="AN207" s="318"/>
      <c r="AO207" s="460"/>
      <c r="AP207" s="460"/>
      <c r="AQ207" s="460"/>
      <c r="AR207" s="469"/>
      <c r="AS207" s="469"/>
    </row>
    <row r="208" spans="1:48" ht="2.25" hidden="1" customHeight="1">
      <c r="A208" s="317"/>
      <c r="B208" s="317"/>
      <c r="C208" s="317"/>
      <c r="D208" s="317"/>
      <c r="E208" s="317"/>
      <c r="F208" s="317"/>
      <c r="G208" s="317"/>
      <c r="H208" s="317"/>
      <c r="I208" s="317"/>
      <c r="J208" s="317"/>
      <c r="K208" s="317"/>
      <c r="L208" s="317"/>
      <c r="M208" s="317"/>
      <c r="N208" s="317"/>
      <c r="O208" s="317"/>
      <c r="P208" s="317"/>
      <c r="Q208" s="317"/>
      <c r="R208" s="317"/>
      <c r="S208" s="317"/>
      <c r="T208" s="317"/>
      <c r="U208" s="317"/>
      <c r="V208" s="317"/>
      <c r="X208" s="317"/>
      <c r="Y208" s="317"/>
      <c r="Z208" s="317"/>
      <c r="AA208" s="317"/>
      <c r="AB208" s="317"/>
      <c r="AC208" s="317"/>
      <c r="AE208" s="317"/>
      <c r="AF208" s="317"/>
      <c r="AG208" s="317"/>
      <c r="AH208" s="317"/>
      <c r="AI208" s="317"/>
      <c r="AJ208" s="317"/>
      <c r="AL208" s="317"/>
      <c r="AM208" s="317"/>
      <c r="AN208" s="317"/>
      <c r="AO208" s="463"/>
      <c r="AP208" s="463"/>
      <c r="AQ208" s="463"/>
      <c r="AR208" s="463"/>
      <c r="AS208" s="463"/>
      <c r="AT208" s="440"/>
      <c r="AU208" s="440"/>
      <c r="AV208" s="440"/>
    </row>
    <row r="209" spans="1:48" ht="15" hidden="1" customHeight="1">
      <c r="A209" s="317"/>
      <c r="B209" s="317"/>
      <c r="C209" s="317"/>
      <c r="D209" s="317"/>
      <c r="E209" s="317"/>
      <c r="F209" s="317"/>
      <c r="G209" s="317"/>
      <c r="H209" s="317"/>
      <c r="I209" s="317"/>
      <c r="J209" s="317"/>
      <c r="K209" s="317"/>
      <c r="L209" s="317"/>
      <c r="M209" s="317"/>
      <c r="N209" s="317"/>
      <c r="O209" s="317"/>
      <c r="P209" s="317"/>
      <c r="Q209" s="317"/>
      <c r="R209" s="317"/>
      <c r="S209" s="317"/>
      <c r="T209" s="317"/>
      <c r="U209" s="317"/>
      <c r="V209" s="317"/>
      <c r="X209" s="317"/>
      <c r="Y209" s="317"/>
      <c r="Z209" s="317"/>
      <c r="AA209" s="317"/>
      <c r="AB209" s="317"/>
      <c r="AC209" s="317"/>
      <c r="AE209" s="317"/>
      <c r="AF209" s="317"/>
      <c r="AG209" s="317"/>
      <c r="AH209" s="317"/>
      <c r="AI209" s="317"/>
      <c r="AJ209" s="317"/>
      <c r="AL209" s="318"/>
      <c r="AM209" s="318"/>
      <c r="AN209" s="317"/>
      <c r="AO209" s="460"/>
      <c r="AP209" s="460"/>
      <c r="AQ209" s="460"/>
      <c r="AR209" s="460"/>
      <c r="AS209" s="460"/>
    </row>
    <row r="210" spans="1:48" ht="15" hidden="1" customHeight="1">
      <c r="A210" s="317"/>
      <c r="B210" s="317"/>
      <c r="C210" s="320"/>
      <c r="D210" s="320"/>
      <c r="E210" s="320"/>
      <c r="F210" s="320"/>
      <c r="G210" s="320"/>
      <c r="H210" s="320"/>
      <c r="I210" s="320"/>
      <c r="J210" s="317"/>
      <c r="K210" s="317"/>
      <c r="L210" s="317"/>
      <c r="M210" s="317"/>
      <c r="N210" s="317"/>
      <c r="O210" s="317"/>
      <c r="P210" s="317"/>
      <c r="Q210" s="317"/>
      <c r="R210" s="317"/>
      <c r="S210" s="317"/>
      <c r="T210" s="317"/>
      <c r="U210" s="317"/>
      <c r="V210" s="317"/>
      <c r="X210" s="317"/>
      <c r="Y210" s="317"/>
      <c r="Z210" s="317"/>
      <c r="AA210" s="317"/>
      <c r="AB210" s="317"/>
      <c r="AC210" s="317"/>
      <c r="AE210" s="317"/>
      <c r="AF210" s="317"/>
      <c r="AG210" s="317"/>
      <c r="AH210" s="317"/>
      <c r="AI210" s="317"/>
      <c r="AJ210" s="317"/>
      <c r="AL210" s="318"/>
      <c r="AM210" s="318"/>
      <c r="AN210" s="317"/>
      <c r="AO210" s="463"/>
      <c r="AP210" s="463"/>
      <c r="AQ210" s="463"/>
      <c r="AR210" s="463"/>
      <c r="AS210" s="463"/>
      <c r="AT210" s="440"/>
      <c r="AU210" s="440"/>
      <c r="AV210" s="440"/>
    </row>
    <row r="211" spans="1:48" ht="15" hidden="1" customHeight="1">
      <c r="A211" s="317"/>
      <c r="B211" s="317"/>
      <c r="C211" s="320"/>
      <c r="D211" s="320"/>
      <c r="E211" s="320"/>
      <c r="F211" s="320"/>
      <c r="G211" s="320"/>
      <c r="H211" s="320"/>
      <c r="I211" s="320"/>
      <c r="J211" s="317"/>
      <c r="K211" s="317"/>
      <c r="L211" s="317"/>
      <c r="M211" s="317"/>
      <c r="N211" s="317"/>
      <c r="O211" s="317"/>
      <c r="P211" s="317"/>
      <c r="Q211" s="317"/>
      <c r="R211" s="317"/>
      <c r="S211" s="317"/>
      <c r="T211" s="317"/>
      <c r="U211" s="317"/>
      <c r="V211" s="317"/>
      <c r="X211" s="317"/>
      <c r="Y211" s="317"/>
      <c r="Z211" s="317"/>
      <c r="AA211" s="317"/>
      <c r="AB211" s="317"/>
      <c r="AC211" s="317"/>
      <c r="AE211" s="317"/>
      <c r="AF211" s="317"/>
      <c r="AG211" s="317"/>
      <c r="AH211" s="317"/>
      <c r="AI211" s="317"/>
      <c r="AJ211" s="317"/>
      <c r="AL211" s="317"/>
      <c r="AM211" s="317"/>
      <c r="AN211" s="317"/>
      <c r="AO211" s="460"/>
      <c r="AP211" s="460"/>
      <c r="AQ211" s="460"/>
      <c r="AR211" s="460"/>
      <c r="AS211" s="460"/>
    </row>
    <row r="212" spans="1:48" ht="15" hidden="1" customHeight="1">
      <c r="A212" s="317"/>
      <c r="B212" s="317"/>
      <c r="C212" s="317"/>
      <c r="D212" s="318"/>
      <c r="E212" s="318"/>
      <c r="F212" s="317"/>
      <c r="G212" s="317"/>
      <c r="H212" s="317"/>
      <c r="I212" s="317"/>
      <c r="J212" s="317"/>
      <c r="K212" s="317"/>
      <c r="L212" s="317"/>
      <c r="M212" s="318"/>
      <c r="N212" s="318"/>
      <c r="O212" s="317"/>
      <c r="P212" s="318"/>
      <c r="Q212" s="317"/>
      <c r="R212" s="317"/>
      <c r="S212" s="317"/>
      <c r="T212" s="318"/>
      <c r="U212" s="318"/>
      <c r="V212" s="317"/>
      <c r="X212" s="317"/>
      <c r="Y212" s="317"/>
      <c r="Z212" s="317"/>
      <c r="AA212" s="317"/>
      <c r="AB212" s="317"/>
      <c r="AC212" s="317"/>
      <c r="AE212" s="317"/>
      <c r="AF212" s="317"/>
      <c r="AG212" s="317"/>
      <c r="AH212" s="317"/>
      <c r="AI212" s="317"/>
      <c r="AJ212" s="317"/>
      <c r="AL212" s="317"/>
      <c r="AM212" s="317"/>
      <c r="AN212" s="317"/>
      <c r="AO212" s="463"/>
      <c r="AP212" s="463"/>
      <c r="AQ212" s="463"/>
      <c r="AR212" s="463"/>
      <c r="AS212" s="463"/>
      <c r="AT212" s="440"/>
      <c r="AU212" s="440"/>
      <c r="AV212" s="440"/>
    </row>
    <row r="213" spans="1:48" ht="15" hidden="1" customHeight="1">
      <c r="A213" s="317"/>
      <c r="B213" s="317"/>
      <c r="C213" s="317"/>
      <c r="D213" s="318"/>
      <c r="E213" s="318"/>
      <c r="F213" s="317"/>
      <c r="G213" s="317"/>
      <c r="H213" s="317"/>
      <c r="I213" s="317"/>
      <c r="J213" s="317"/>
      <c r="K213" s="317"/>
      <c r="L213" s="317"/>
      <c r="M213" s="317"/>
      <c r="N213" s="317"/>
      <c r="O213" s="317"/>
      <c r="P213" s="317"/>
      <c r="Q213" s="317"/>
      <c r="R213" s="317"/>
      <c r="S213" s="317"/>
      <c r="T213" s="317"/>
      <c r="U213" s="317"/>
      <c r="V213" s="317"/>
      <c r="X213" s="317"/>
      <c r="Y213" s="317"/>
      <c r="Z213" s="317"/>
      <c r="AA213" s="317"/>
      <c r="AB213" s="317"/>
      <c r="AC213" s="317"/>
      <c r="AE213" s="317"/>
      <c r="AF213" s="317"/>
      <c r="AG213" s="317"/>
      <c r="AH213" s="317"/>
      <c r="AI213" s="317"/>
      <c r="AJ213" s="317"/>
      <c r="AL213" s="318"/>
      <c r="AM213" s="318"/>
      <c r="AN213" s="317"/>
      <c r="AO213" s="460"/>
      <c r="AP213" s="460"/>
      <c r="AQ213" s="460"/>
      <c r="AR213" s="460"/>
      <c r="AS213" s="460"/>
    </row>
    <row r="214" spans="1:48" ht="15" hidden="1" customHeight="1">
      <c r="A214" s="317"/>
      <c r="B214" s="317"/>
      <c r="C214" s="317"/>
      <c r="D214" s="317"/>
      <c r="E214" s="317"/>
      <c r="F214" s="317"/>
      <c r="G214" s="317"/>
      <c r="H214" s="317"/>
      <c r="I214" s="317"/>
      <c r="J214" s="317"/>
      <c r="K214" s="317"/>
      <c r="L214" s="317"/>
      <c r="M214" s="317"/>
      <c r="N214" s="317"/>
      <c r="O214" s="317"/>
      <c r="P214" s="317"/>
      <c r="Q214" s="317"/>
      <c r="R214" s="317"/>
      <c r="S214" s="317"/>
      <c r="T214" s="317"/>
      <c r="U214" s="317"/>
      <c r="V214" s="317"/>
      <c r="X214" s="317"/>
      <c r="Y214" s="317"/>
      <c r="Z214" s="317"/>
      <c r="AA214" s="317"/>
      <c r="AB214" s="317"/>
      <c r="AC214" s="317"/>
      <c r="AE214" s="317"/>
      <c r="AF214" s="317"/>
      <c r="AG214" s="317"/>
      <c r="AH214" s="317"/>
      <c r="AI214" s="317"/>
      <c r="AJ214" s="317"/>
      <c r="AL214" s="318"/>
      <c r="AM214" s="318"/>
      <c r="AN214" s="317"/>
      <c r="AO214" s="463"/>
      <c r="AP214" s="463"/>
      <c r="AQ214" s="463"/>
      <c r="AR214" s="463"/>
      <c r="AS214" s="463"/>
      <c r="AT214" s="440"/>
      <c r="AU214" s="440"/>
      <c r="AV214" s="440"/>
    </row>
    <row r="215" spans="1:48" ht="15" hidden="1" customHeight="1">
      <c r="A215" s="317"/>
      <c r="B215" s="317"/>
      <c r="C215" s="317"/>
      <c r="D215" s="317"/>
      <c r="E215" s="317"/>
      <c r="F215" s="317"/>
      <c r="G215" s="317"/>
      <c r="H215" s="317"/>
      <c r="I215" s="317"/>
      <c r="J215" s="317"/>
      <c r="K215" s="317"/>
      <c r="L215" s="317"/>
      <c r="M215" s="317"/>
      <c r="N215" s="317"/>
      <c r="O215" s="317"/>
      <c r="P215" s="317"/>
      <c r="Q215" s="317"/>
      <c r="R215" s="317"/>
      <c r="S215" s="317"/>
      <c r="T215" s="317"/>
      <c r="U215" s="317"/>
      <c r="V215" s="317"/>
      <c r="X215" s="317"/>
      <c r="Y215" s="317"/>
      <c r="Z215" s="317"/>
      <c r="AA215" s="317"/>
      <c r="AB215" s="317"/>
      <c r="AC215" s="317"/>
      <c r="AE215" s="317"/>
      <c r="AF215" s="317"/>
      <c r="AG215" s="317"/>
      <c r="AH215" s="317"/>
      <c r="AI215" s="317"/>
      <c r="AJ215" s="317"/>
      <c r="AL215" s="317"/>
      <c r="AM215" s="317"/>
      <c r="AN215" s="317"/>
      <c r="AO215" s="460"/>
      <c r="AP215" s="460"/>
      <c r="AQ215" s="460"/>
      <c r="AR215" s="460"/>
      <c r="AS215" s="460"/>
    </row>
    <row r="216" spans="1:48" ht="15" hidden="1" customHeight="1">
      <c r="A216" s="317"/>
      <c r="B216" s="317"/>
      <c r="C216" s="317"/>
      <c r="D216" s="317"/>
      <c r="E216" s="317"/>
      <c r="F216" s="317"/>
      <c r="G216" s="317"/>
      <c r="H216" s="317"/>
      <c r="I216" s="317"/>
      <c r="J216" s="317"/>
      <c r="K216" s="317"/>
      <c r="L216" s="317"/>
      <c r="M216" s="317"/>
      <c r="N216" s="317"/>
      <c r="O216" s="317"/>
      <c r="P216" s="317"/>
      <c r="Q216" s="317"/>
      <c r="R216" s="317"/>
      <c r="S216" s="317"/>
      <c r="T216" s="317"/>
      <c r="U216" s="317"/>
      <c r="V216" s="317"/>
      <c r="X216" s="317"/>
      <c r="Y216" s="317"/>
      <c r="Z216" s="317"/>
      <c r="AA216" s="317"/>
      <c r="AB216" s="317"/>
      <c r="AC216" s="317"/>
      <c r="AE216" s="317"/>
      <c r="AF216" s="317"/>
      <c r="AG216" s="317"/>
      <c r="AH216" s="317"/>
      <c r="AI216" s="317"/>
      <c r="AJ216" s="317"/>
      <c r="AL216" s="317"/>
      <c r="AM216" s="317"/>
      <c r="AN216" s="317"/>
      <c r="AO216" s="463"/>
      <c r="AP216" s="463"/>
      <c r="AQ216" s="463"/>
      <c r="AR216" s="463"/>
      <c r="AS216" s="463"/>
      <c r="AT216" s="440"/>
      <c r="AU216" s="440"/>
      <c r="AV216" s="440"/>
    </row>
    <row r="217" spans="1:48" ht="15" hidden="1" customHeight="1">
      <c r="A217" s="317"/>
      <c r="B217" s="317"/>
      <c r="C217" s="317"/>
      <c r="D217" s="317"/>
      <c r="E217" s="317"/>
      <c r="F217" s="317"/>
      <c r="G217" s="317"/>
      <c r="H217" s="317"/>
      <c r="I217" s="317"/>
      <c r="J217" s="317"/>
      <c r="K217" s="317"/>
      <c r="L217" s="317"/>
      <c r="M217" s="317"/>
      <c r="N217" s="317"/>
      <c r="O217" s="317"/>
      <c r="P217" s="317"/>
      <c r="Q217" s="317"/>
      <c r="R217" s="317"/>
      <c r="S217" s="317"/>
      <c r="T217" s="317"/>
      <c r="U217" s="317"/>
      <c r="V217" s="317"/>
      <c r="X217" s="317"/>
      <c r="Y217" s="317"/>
      <c r="Z217" s="317"/>
      <c r="AA217" s="317"/>
      <c r="AB217" s="317"/>
      <c r="AC217" s="317"/>
      <c r="AE217" s="317"/>
      <c r="AF217" s="317"/>
      <c r="AG217" s="317"/>
      <c r="AH217" s="317"/>
      <c r="AI217" s="317"/>
      <c r="AJ217" s="317"/>
      <c r="AL217" s="317"/>
      <c r="AM217" s="317"/>
      <c r="AN217" s="317"/>
      <c r="AO217" s="460"/>
      <c r="AP217" s="460"/>
      <c r="AQ217" s="460"/>
      <c r="AR217" s="460"/>
      <c r="AS217" s="460"/>
    </row>
    <row r="218" spans="1:48" ht="15" hidden="1" customHeight="1">
      <c r="A218" s="317"/>
      <c r="B218" s="317"/>
      <c r="C218" s="317"/>
      <c r="D218" s="317"/>
      <c r="E218" s="317"/>
      <c r="F218" s="317"/>
      <c r="G218" s="317"/>
      <c r="H218" s="317"/>
      <c r="I218" s="317"/>
      <c r="J218" s="317"/>
      <c r="K218" s="317"/>
      <c r="L218" s="317"/>
      <c r="M218" s="317"/>
      <c r="N218" s="317"/>
      <c r="O218" s="317"/>
      <c r="P218" s="317"/>
      <c r="Q218" s="317"/>
      <c r="R218" s="317"/>
      <c r="S218" s="317"/>
      <c r="T218" s="317"/>
      <c r="U218" s="317"/>
      <c r="V218" s="317"/>
      <c r="X218" s="317"/>
      <c r="Y218" s="317"/>
      <c r="Z218" s="317"/>
      <c r="AA218" s="317"/>
      <c r="AB218" s="317"/>
      <c r="AC218" s="317"/>
      <c r="AE218" s="317"/>
      <c r="AF218" s="317"/>
      <c r="AG218" s="317"/>
      <c r="AH218" s="317"/>
      <c r="AI218" s="317"/>
      <c r="AJ218" s="317"/>
      <c r="AL218" s="317"/>
      <c r="AM218" s="317"/>
      <c r="AN218" s="317"/>
      <c r="AO218" s="463"/>
      <c r="AP218" s="463"/>
      <c r="AQ218" s="463"/>
      <c r="AR218" s="463"/>
      <c r="AS218" s="463"/>
      <c r="AT218" s="440"/>
      <c r="AU218" s="440"/>
      <c r="AV218" s="440"/>
    </row>
    <row r="219" spans="1:48" ht="15" hidden="1" customHeight="1">
      <c r="A219" s="317"/>
      <c r="B219" s="317"/>
      <c r="C219" s="317"/>
      <c r="D219" s="317"/>
      <c r="E219" s="317"/>
      <c r="F219" s="317"/>
      <c r="G219" s="317"/>
      <c r="H219" s="317"/>
      <c r="I219" s="317"/>
      <c r="J219" s="317"/>
      <c r="K219" s="317"/>
      <c r="M219" s="317"/>
      <c r="N219" s="317"/>
      <c r="O219" s="317"/>
      <c r="P219" s="317"/>
      <c r="Q219" s="317"/>
      <c r="R219" s="317"/>
      <c r="U219" s="317"/>
      <c r="V219" s="317"/>
      <c r="X219" s="317"/>
      <c r="Y219" s="317"/>
      <c r="Z219" s="317"/>
      <c r="AB219" s="317"/>
      <c r="AC219" s="317"/>
      <c r="AE219" s="317"/>
      <c r="AF219" s="317"/>
      <c r="AG219" s="317"/>
      <c r="AH219" s="317"/>
      <c r="AI219" s="317"/>
      <c r="AJ219" s="317"/>
      <c r="AL219" s="317"/>
      <c r="AM219" s="317"/>
      <c r="AN219" s="317"/>
      <c r="AO219" s="460"/>
      <c r="AP219" s="460"/>
      <c r="AQ219" s="460"/>
      <c r="AR219" s="460"/>
      <c r="AS219" s="460"/>
    </row>
    <row r="220" spans="1:48" ht="15" hidden="1" customHeight="1">
      <c r="A220" s="317"/>
      <c r="B220" s="317"/>
      <c r="C220" s="317"/>
      <c r="D220" s="317"/>
      <c r="E220" s="317"/>
      <c r="F220" s="317"/>
      <c r="G220" s="317"/>
      <c r="H220" s="317"/>
      <c r="I220" s="317"/>
      <c r="J220" s="317"/>
      <c r="K220" s="317"/>
      <c r="L220" s="317"/>
      <c r="M220" s="317"/>
      <c r="N220" s="317"/>
      <c r="O220" s="317"/>
      <c r="P220" s="317"/>
      <c r="Q220" s="317"/>
      <c r="R220" s="317"/>
      <c r="S220" s="317"/>
      <c r="T220" s="317"/>
      <c r="U220" s="317"/>
      <c r="V220" s="317"/>
      <c r="X220" s="317"/>
      <c r="Y220" s="317"/>
      <c r="Z220" s="317"/>
      <c r="AA220" s="317"/>
      <c r="AB220" s="317"/>
      <c r="AC220" s="317"/>
      <c r="AE220" s="317"/>
      <c r="AF220" s="317"/>
      <c r="AG220" s="317"/>
      <c r="AH220" s="317"/>
      <c r="AI220" s="317"/>
      <c r="AJ220" s="317"/>
      <c r="AL220" s="317"/>
      <c r="AM220" s="317"/>
      <c r="AN220" s="317"/>
      <c r="AO220" s="463"/>
      <c r="AP220" s="463"/>
      <c r="AQ220" s="463"/>
      <c r="AR220" s="463"/>
      <c r="AS220" s="463"/>
      <c r="AT220" s="440"/>
      <c r="AU220" s="440"/>
      <c r="AV220" s="440"/>
    </row>
    <row r="221" spans="1:48" ht="15" hidden="1" customHeight="1">
      <c r="A221" s="317"/>
      <c r="B221" s="317"/>
      <c r="C221" s="317"/>
      <c r="D221" s="317"/>
      <c r="E221" s="317"/>
      <c r="F221" s="317"/>
      <c r="G221" s="317"/>
      <c r="H221" s="317"/>
      <c r="I221" s="317"/>
      <c r="J221" s="317"/>
      <c r="K221" s="317"/>
      <c r="L221" s="317"/>
      <c r="M221" s="317"/>
      <c r="N221" s="317"/>
      <c r="O221" s="317"/>
      <c r="P221" s="317"/>
      <c r="Q221" s="317"/>
      <c r="R221" s="317"/>
      <c r="S221" s="317"/>
      <c r="T221" s="317"/>
      <c r="U221" s="317"/>
      <c r="V221" s="317"/>
      <c r="X221" s="317"/>
      <c r="Y221" s="317"/>
      <c r="Z221" s="317"/>
      <c r="AA221" s="317"/>
      <c r="AB221" s="317"/>
      <c r="AC221" s="317"/>
      <c r="AE221" s="317"/>
      <c r="AF221" s="317"/>
      <c r="AG221" s="317"/>
      <c r="AH221" s="317"/>
      <c r="AI221" s="317"/>
      <c r="AJ221" s="317"/>
      <c r="AL221" s="318"/>
      <c r="AM221" s="318"/>
      <c r="AN221" s="317"/>
      <c r="AO221" s="460"/>
      <c r="AP221" s="460"/>
      <c r="AQ221" s="460"/>
      <c r="AR221" s="460"/>
      <c r="AS221" s="460"/>
    </row>
    <row r="222" spans="1:48" ht="15" hidden="1" customHeight="1">
      <c r="A222" s="317"/>
      <c r="B222" s="317"/>
      <c r="C222" s="317"/>
      <c r="D222" s="317"/>
      <c r="E222" s="317"/>
      <c r="F222" s="317"/>
      <c r="G222" s="317"/>
      <c r="H222" s="317"/>
      <c r="I222" s="317"/>
      <c r="J222" s="317"/>
      <c r="K222" s="317"/>
      <c r="L222" s="317"/>
      <c r="M222" s="317"/>
      <c r="N222" s="317"/>
      <c r="O222" s="317"/>
      <c r="P222" s="317"/>
      <c r="Q222" s="317"/>
      <c r="R222" s="317"/>
      <c r="S222" s="317"/>
      <c r="T222" s="317"/>
      <c r="U222" s="317"/>
      <c r="V222" s="317"/>
      <c r="X222" s="317"/>
      <c r="Y222" s="317"/>
      <c r="Z222" s="317"/>
      <c r="AA222" s="317"/>
      <c r="AB222" s="317"/>
      <c r="AC222" s="317"/>
      <c r="AE222" s="317"/>
      <c r="AF222" s="317"/>
      <c r="AG222" s="317"/>
      <c r="AH222" s="317"/>
      <c r="AI222" s="317"/>
      <c r="AJ222" s="317"/>
      <c r="AL222" s="317"/>
      <c r="AM222" s="317"/>
      <c r="AN222" s="317"/>
      <c r="AO222" s="463"/>
      <c r="AP222" s="463"/>
      <c r="AQ222" s="463"/>
      <c r="AR222" s="463"/>
      <c r="AS222" s="463"/>
      <c r="AT222" s="440"/>
      <c r="AU222" s="440"/>
      <c r="AV222" s="440"/>
    </row>
    <row r="223" spans="1:48" ht="15" hidden="1" customHeight="1">
      <c r="A223" s="317"/>
      <c r="B223" s="317"/>
      <c r="C223" s="317"/>
      <c r="D223" s="317"/>
      <c r="E223" s="317"/>
      <c r="F223" s="317"/>
      <c r="G223" s="317"/>
      <c r="H223" s="317"/>
      <c r="I223" s="317"/>
      <c r="J223" s="317"/>
      <c r="K223" s="317"/>
      <c r="L223" s="317"/>
      <c r="M223" s="317"/>
      <c r="N223" s="317"/>
      <c r="O223" s="317"/>
      <c r="P223" s="317"/>
      <c r="Q223" s="317"/>
      <c r="R223" s="317"/>
      <c r="S223" s="317"/>
      <c r="T223" s="317"/>
      <c r="U223" s="317"/>
      <c r="V223" s="317"/>
      <c r="X223" s="317"/>
      <c r="Y223" s="317"/>
      <c r="Z223" s="317"/>
      <c r="AA223" s="317"/>
      <c r="AB223" s="317"/>
      <c r="AC223" s="317"/>
      <c r="AE223" s="317"/>
      <c r="AF223" s="317"/>
      <c r="AG223" s="317"/>
      <c r="AH223" s="317"/>
      <c r="AI223" s="317"/>
      <c r="AJ223" s="317"/>
      <c r="AL223" s="317"/>
      <c r="AM223" s="317"/>
      <c r="AN223" s="317"/>
      <c r="AO223" s="460"/>
      <c r="AP223" s="460"/>
      <c r="AQ223" s="460"/>
      <c r="AR223" s="460"/>
      <c r="AS223" s="460"/>
    </row>
    <row r="224" spans="1:48" ht="15" hidden="1" customHeight="1">
      <c r="A224" s="317"/>
      <c r="B224" s="317"/>
      <c r="C224" s="317"/>
      <c r="D224" s="317"/>
      <c r="E224" s="317"/>
      <c r="F224" s="317"/>
      <c r="G224" s="317"/>
      <c r="H224" s="317"/>
      <c r="I224" s="317"/>
      <c r="J224" s="317"/>
      <c r="K224" s="317"/>
      <c r="L224" s="317"/>
      <c r="M224" s="317"/>
      <c r="N224" s="317"/>
      <c r="O224" s="317"/>
      <c r="P224" s="317"/>
      <c r="Q224" s="317"/>
      <c r="R224" s="317"/>
      <c r="S224" s="317"/>
      <c r="T224" s="317"/>
      <c r="U224" s="317"/>
      <c r="V224" s="317"/>
      <c r="X224" s="317"/>
      <c r="Y224" s="317"/>
      <c r="Z224" s="317"/>
      <c r="AA224" s="317"/>
      <c r="AB224" s="317"/>
      <c r="AC224" s="317"/>
      <c r="AE224" s="317"/>
      <c r="AF224" s="317"/>
      <c r="AG224" s="317"/>
      <c r="AH224" s="317"/>
      <c r="AI224" s="317"/>
      <c r="AJ224" s="317"/>
      <c r="AL224" s="317"/>
      <c r="AM224" s="317"/>
      <c r="AN224" s="317"/>
      <c r="AO224" s="463"/>
      <c r="AP224" s="463"/>
      <c r="AQ224" s="463"/>
      <c r="AR224" s="463"/>
      <c r="AS224" s="463"/>
      <c r="AT224" s="440"/>
      <c r="AU224" s="440"/>
      <c r="AV224" s="440"/>
    </row>
    <row r="225" spans="1:48" ht="15" hidden="1" customHeight="1">
      <c r="A225" s="273"/>
      <c r="B225" s="273"/>
      <c r="C225" s="273"/>
      <c r="D225" s="273"/>
      <c r="E225" s="321"/>
      <c r="F225" s="273"/>
      <c r="G225" s="273"/>
      <c r="I225" s="321"/>
      <c r="J225" s="273"/>
      <c r="K225" s="273"/>
      <c r="L225" s="273"/>
      <c r="M225" s="273"/>
      <c r="N225" s="273"/>
      <c r="O225" s="273"/>
      <c r="P225" s="322"/>
      <c r="Q225" s="273"/>
      <c r="R225" s="273"/>
      <c r="S225" s="273"/>
      <c r="T225" s="273"/>
      <c r="U225" s="273"/>
      <c r="V225" s="273"/>
      <c r="X225" s="273"/>
      <c r="Y225" s="273"/>
      <c r="Z225" s="273"/>
      <c r="AA225" s="273"/>
      <c r="AB225" s="273"/>
      <c r="AC225" s="273"/>
      <c r="AE225" s="273"/>
      <c r="AF225" s="273"/>
      <c r="AG225" s="273"/>
      <c r="AH225" s="273"/>
      <c r="AI225" s="273"/>
      <c r="AJ225" s="273"/>
      <c r="AL225" s="321"/>
      <c r="AM225" s="273"/>
      <c r="AN225" s="323"/>
      <c r="AO225" s="241"/>
      <c r="AP225" s="241"/>
      <c r="AQ225" s="241"/>
      <c r="AR225" s="470"/>
      <c r="AS225" s="440"/>
      <c r="AT225" s="440"/>
      <c r="AU225" s="440"/>
      <c r="AV225" s="440"/>
    </row>
    <row r="226" spans="1:48" s="214" customFormat="1" ht="12.75" hidden="1" customHeight="1">
      <c r="A226" s="324"/>
      <c r="B226" s="324"/>
      <c r="C226" s="324"/>
      <c r="D226" s="324"/>
      <c r="E226" s="324"/>
      <c r="F226" s="324"/>
      <c r="G226" s="324"/>
      <c r="H226" s="324"/>
      <c r="I226" s="324"/>
      <c r="J226" s="324"/>
      <c r="K226" s="324"/>
      <c r="L226" s="324"/>
      <c r="M226" s="324"/>
      <c r="N226" s="324"/>
      <c r="O226" s="324"/>
      <c r="P226" s="324"/>
      <c r="Q226" s="324"/>
      <c r="R226" s="324"/>
      <c r="S226" s="324"/>
      <c r="T226" s="324"/>
      <c r="U226" s="324"/>
      <c r="V226" s="324"/>
      <c r="W226" s="216"/>
      <c r="X226" s="324"/>
      <c r="Y226" s="324"/>
      <c r="Z226" s="324"/>
      <c r="AA226" s="324"/>
      <c r="AB226" s="324"/>
      <c r="AC226" s="324"/>
      <c r="AD226" s="216"/>
      <c r="AE226" s="324"/>
      <c r="AF226" s="324"/>
      <c r="AG226" s="324"/>
      <c r="AH226" s="324"/>
      <c r="AI226" s="324"/>
      <c r="AJ226" s="324"/>
      <c r="AK226" s="216"/>
      <c r="AL226" s="324"/>
      <c r="AM226" s="324"/>
      <c r="AN226" s="324"/>
      <c r="AO226" s="471"/>
      <c r="AP226" s="471"/>
      <c r="AQ226" s="471"/>
      <c r="AR226" s="471"/>
      <c r="AS226" s="471"/>
      <c r="AT226" s="471"/>
      <c r="AU226" s="471"/>
      <c r="AV226" s="471"/>
    </row>
    <row r="227" spans="1:48" s="214" customFormat="1" ht="12.75" hidden="1" customHeight="1">
      <c r="A227" s="324"/>
      <c r="B227" s="324"/>
      <c r="C227" s="324"/>
      <c r="D227" s="324"/>
      <c r="E227" s="324"/>
      <c r="F227" s="324"/>
      <c r="G227" s="324"/>
      <c r="H227" s="324"/>
      <c r="I227" s="324"/>
      <c r="J227" s="324"/>
      <c r="K227" s="324"/>
      <c r="L227" s="324"/>
      <c r="M227" s="324"/>
      <c r="N227" s="324"/>
      <c r="O227" s="324"/>
      <c r="P227" s="324"/>
      <c r="Q227" s="324"/>
      <c r="R227" s="324"/>
      <c r="S227" s="324"/>
      <c r="T227" s="324"/>
      <c r="U227" s="324"/>
      <c r="V227" s="324"/>
      <c r="W227" s="216"/>
      <c r="X227" s="324"/>
      <c r="Y227" s="324"/>
      <c r="Z227" s="324"/>
      <c r="AA227" s="324"/>
      <c r="AB227" s="324"/>
      <c r="AC227" s="324"/>
      <c r="AD227" s="216"/>
      <c r="AE227" s="324"/>
      <c r="AF227" s="324"/>
      <c r="AG227" s="324"/>
      <c r="AH227" s="324"/>
      <c r="AI227" s="324"/>
      <c r="AJ227" s="324"/>
      <c r="AK227" s="216"/>
      <c r="AL227" s="324"/>
      <c r="AM227" s="324"/>
      <c r="AN227" s="324"/>
      <c r="AO227" s="471"/>
      <c r="AP227" s="471"/>
      <c r="AQ227" s="471"/>
      <c r="AR227" s="471"/>
      <c r="AS227" s="471"/>
      <c r="AT227" s="471"/>
      <c r="AU227" s="471"/>
      <c r="AV227" s="471"/>
    </row>
    <row r="228" spans="1:48" s="214" customFormat="1" ht="12.75" hidden="1" customHeight="1">
      <c r="A228" s="324"/>
      <c r="B228" s="324"/>
      <c r="C228" s="324"/>
      <c r="D228" s="324"/>
      <c r="E228" s="324"/>
      <c r="F228" s="324"/>
      <c r="G228" s="324"/>
      <c r="H228" s="324"/>
      <c r="I228" s="324"/>
      <c r="J228" s="324"/>
      <c r="K228" s="324"/>
      <c r="L228" s="324"/>
      <c r="M228" s="324"/>
      <c r="N228" s="324"/>
      <c r="O228" s="324"/>
      <c r="P228" s="324"/>
      <c r="Q228" s="324"/>
      <c r="R228" s="324"/>
      <c r="S228" s="324"/>
      <c r="T228" s="324"/>
      <c r="U228" s="324"/>
      <c r="V228" s="324"/>
      <c r="W228" s="216"/>
      <c r="X228" s="324"/>
      <c r="Y228" s="324"/>
      <c r="Z228" s="324"/>
      <c r="AA228" s="324"/>
      <c r="AB228" s="324"/>
      <c r="AC228" s="324"/>
      <c r="AD228" s="216"/>
      <c r="AE228" s="324"/>
      <c r="AF228" s="324"/>
      <c r="AG228" s="324"/>
      <c r="AH228" s="324"/>
      <c r="AI228" s="324"/>
      <c r="AJ228" s="324"/>
      <c r="AK228" s="216"/>
      <c r="AL228" s="324"/>
      <c r="AM228" s="324"/>
      <c r="AN228" s="324"/>
      <c r="AO228" s="471"/>
      <c r="AP228" s="471"/>
      <c r="AQ228" s="471"/>
      <c r="AR228" s="471"/>
      <c r="AS228" s="471"/>
      <c r="AT228" s="471"/>
      <c r="AU228" s="471"/>
      <c r="AV228" s="471"/>
    </row>
    <row r="229" spans="1:48" ht="15" hidden="1" customHeight="1">
      <c r="A229" s="273"/>
      <c r="B229" s="273"/>
      <c r="C229" s="273"/>
      <c r="D229" s="273"/>
      <c r="E229" s="273"/>
      <c r="F229" s="273"/>
      <c r="G229" s="273"/>
      <c r="H229" s="273"/>
      <c r="I229" s="32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X229" s="273"/>
      <c r="Y229" s="273"/>
      <c r="Z229" s="273"/>
      <c r="AA229" s="273"/>
      <c r="AB229" s="273"/>
      <c r="AC229" s="273"/>
      <c r="AE229" s="273"/>
      <c r="AF229" s="273"/>
      <c r="AG229" s="273"/>
      <c r="AH229" s="273"/>
      <c r="AI229" s="273"/>
      <c r="AJ229" s="273"/>
      <c r="AL229" s="273"/>
      <c r="AM229" s="273"/>
      <c r="AN229" s="323"/>
      <c r="AO229" s="461"/>
      <c r="AP229" s="461"/>
      <c r="AQ229" s="461"/>
      <c r="AR229" s="461"/>
      <c r="AS229" s="461"/>
    </row>
    <row r="230" spans="1:48" ht="15" hidden="1" customHeight="1">
      <c r="A230" s="273"/>
      <c r="B230" s="273"/>
      <c r="C230" s="273"/>
      <c r="D230" s="273"/>
      <c r="E230" s="273"/>
      <c r="F230" s="273"/>
      <c r="G230" s="273"/>
      <c r="H230" s="273"/>
      <c r="I230" s="32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X230" s="273"/>
      <c r="Y230" s="273"/>
      <c r="Z230" s="273"/>
      <c r="AA230" s="273"/>
      <c r="AB230" s="273"/>
      <c r="AC230" s="273"/>
      <c r="AE230" s="273"/>
      <c r="AF230" s="273"/>
      <c r="AG230" s="273"/>
      <c r="AH230" s="273"/>
      <c r="AI230" s="273"/>
      <c r="AJ230" s="273"/>
      <c r="AL230" s="273"/>
      <c r="AM230" s="273"/>
      <c r="AN230" s="323"/>
      <c r="AO230" s="461"/>
      <c r="AP230" s="461"/>
      <c r="AQ230" s="461"/>
      <c r="AR230" s="461"/>
      <c r="AS230" s="461"/>
    </row>
    <row r="231" spans="1:48" ht="15" hidden="1" customHeight="1">
      <c r="A231" s="273"/>
      <c r="B231" s="273"/>
      <c r="C231" s="273"/>
      <c r="D231" s="273"/>
      <c r="E231" s="273"/>
      <c r="F231" s="273"/>
      <c r="G231" s="273"/>
      <c r="H231" s="273"/>
      <c r="I231" s="323"/>
      <c r="J231" s="273"/>
      <c r="K231" s="273"/>
      <c r="L231" s="273"/>
      <c r="M231" s="273"/>
      <c r="N231" s="273"/>
      <c r="O231" s="273"/>
      <c r="P231" s="273"/>
      <c r="Q231" s="273"/>
      <c r="R231" s="273"/>
      <c r="AN231" s="286"/>
      <c r="AP231" s="461"/>
      <c r="AQ231" s="461"/>
      <c r="AR231" s="461"/>
      <c r="AS231" s="461"/>
    </row>
    <row r="232" spans="1:48" ht="15" hidden="1" customHeight="1">
      <c r="A232" s="273"/>
      <c r="B232" s="273"/>
      <c r="C232" s="273"/>
      <c r="D232" s="273"/>
      <c r="E232" s="273"/>
      <c r="F232" s="273"/>
      <c r="G232" s="273"/>
      <c r="H232" s="273"/>
      <c r="I232" s="323"/>
      <c r="J232" s="273"/>
      <c r="K232" s="273"/>
      <c r="L232" s="273"/>
      <c r="M232" s="273"/>
      <c r="N232" s="273"/>
      <c r="O232" s="273"/>
      <c r="P232" s="273"/>
      <c r="Q232" s="273"/>
      <c r="R232" s="273"/>
      <c r="AN232" s="286"/>
      <c r="AP232" s="461"/>
      <c r="AQ232" s="461"/>
      <c r="AR232" s="461"/>
      <c r="AS232" s="461"/>
    </row>
    <row r="233" spans="1:48" ht="15" hidden="1" customHeight="1">
      <c r="A233" s="273"/>
      <c r="B233" s="273"/>
      <c r="C233" s="273"/>
      <c r="D233" s="273"/>
      <c r="E233" s="273"/>
      <c r="F233" s="273"/>
      <c r="G233" s="273"/>
      <c r="H233" s="273"/>
      <c r="I233" s="323"/>
      <c r="J233" s="273"/>
      <c r="K233" s="273"/>
      <c r="L233" s="273"/>
      <c r="M233" s="273"/>
      <c r="N233" s="273"/>
      <c r="O233" s="273"/>
      <c r="P233" s="273"/>
      <c r="Q233" s="273"/>
      <c r="R233" s="273"/>
      <c r="AN233" s="286"/>
      <c r="AP233" s="461"/>
      <c r="AQ233" s="461"/>
      <c r="AR233" s="461"/>
      <c r="AS233" s="461"/>
    </row>
    <row r="234" spans="1:48" ht="15" hidden="1" customHeight="1">
      <c r="A234" s="273"/>
      <c r="B234" s="273"/>
      <c r="C234" s="273"/>
      <c r="D234" s="273"/>
      <c r="E234" s="273"/>
      <c r="F234" s="273"/>
      <c r="G234" s="273"/>
      <c r="H234" s="273"/>
      <c r="I234" s="323"/>
      <c r="J234" s="273"/>
      <c r="K234" s="273"/>
      <c r="L234" s="273"/>
      <c r="M234" s="273"/>
      <c r="N234" s="273"/>
      <c r="O234" s="273"/>
      <c r="P234" s="273"/>
      <c r="Q234" s="273"/>
      <c r="R234" s="273"/>
      <c r="AN234" s="286"/>
      <c r="AP234" s="461"/>
      <c r="AQ234" s="461"/>
      <c r="AR234" s="461"/>
      <c r="AS234" s="461"/>
    </row>
    <row r="235" spans="1:48" ht="15" hidden="1" customHeight="1">
      <c r="A235" s="273"/>
      <c r="B235" s="273"/>
      <c r="C235" s="273"/>
      <c r="D235" s="273"/>
      <c r="E235" s="273"/>
      <c r="F235" s="273"/>
      <c r="G235" s="273"/>
      <c r="H235" s="273"/>
      <c r="I235" s="323"/>
      <c r="J235" s="273"/>
      <c r="K235" s="273"/>
      <c r="L235" s="273"/>
      <c r="M235" s="273"/>
      <c r="N235" s="273"/>
      <c r="O235" s="273"/>
      <c r="P235" s="273"/>
      <c r="Q235" s="273"/>
      <c r="R235" s="273"/>
      <c r="AN235" s="286"/>
      <c r="AP235" s="461"/>
      <c r="AQ235" s="461"/>
      <c r="AR235" s="461"/>
      <c r="AS235" s="461"/>
    </row>
    <row r="236" spans="1:48" ht="15" hidden="1" customHeight="1">
      <c r="A236" s="273"/>
      <c r="B236" s="273"/>
      <c r="C236" s="273"/>
      <c r="D236" s="273"/>
      <c r="E236" s="273"/>
      <c r="F236" s="273"/>
      <c r="G236" s="273"/>
      <c r="H236" s="273"/>
      <c r="I236" s="32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X236" s="273"/>
      <c r="Y236" s="273"/>
      <c r="Z236" s="273"/>
      <c r="AA236" s="273"/>
      <c r="AB236" s="273"/>
      <c r="AC236" s="273"/>
      <c r="AE236" s="273"/>
      <c r="AF236" s="273"/>
      <c r="AG236" s="273"/>
      <c r="AH236" s="273"/>
      <c r="AI236" s="273"/>
      <c r="AJ236" s="273"/>
      <c r="AL236" s="273"/>
      <c r="AM236" s="273"/>
      <c r="AN236" s="323"/>
      <c r="AO236" s="461"/>
      <c r="AP236" s="461"/>
      <c r="AQ236" s="461"/>
      <c r="AR236" s="461"/>
      <c r="AS236" s="461"/>
    </row>
    <row r="237" spans="1:48" ht="15" hidden="1" customHeight="1">
      <c r="A237" s="273"/>
      <c r="B237" s="273"/>
      <c r="C237" s="273"/>
      <c r="D237" s="273"/>
      <c r="E237" s="273"/>
      <c r="F237" s="273"/>
      <c r="G237" s="273"/>
      <c r="H237" s="273"/>
      <c r="I237" s="32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X237" s="273"/>
      <c r="Y237" s="273"/>
      <c r="Z237" s="273"/>
      <c r="AA237" s="273"/>
      <c r="AB237" s="273"/>
      <c r="AC237" s="273"/>
      <c r="AE237" s="273"/>
      <c r="AF237" s="273"/>
      <c r="AG237" s="273"/>
      <c r="AH237" s="273"/>
      <c r="AI237" s="273"/>
      <c r="AJ237" s="273"/>
      <c r="AL237" s="273"/>
      <c r="AM237" s="273"/>
      <c r="AN237" s="323"/>
      <c r="AO237" s="461"/>
      <c r="AP237" s="461"/>
      <c r="AQ237" s="461"/>
      <c r="AR237" s="461"/>
      <c r="AS237" s="461"/>
    </row>
    <row r="238" spans="1:48" ht="15" hidden="1" customHeight="1">
      <c r="A238" s="273"/>
      <c r="B238" s="273"/>
      <c r="C238" s="273"/>
      <c r="D238" s="273"/>
      <c r="E238" s="273"/>
      <c r="F238" s="273"/>
      <c r="G238" s="273"/>
      <c r="H238" s="273"/>
      <c r="I238" s="32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X238" s="273"/>
      <c r="Y238" s="273"/>
      <c r="Z238" s="273"/>
      <c r="AA238" s="273"/>
      <c r="AB238" s="273"/>
      <c r="AC238" s="273"/>
      <c r="AE238" s="273"/>
      <c r="AF238" s="273"/>
      <c r="AG238" s="273"/>
      <c r="AH238" s="273"/>
      <c r="AI238" s="273"/>
      <c r="AJ238" s="273"/>
      <c r="AL238" s="273"/>
      <c r="AM238" s="273"/>
      <c r="AN238" s="323"/>
      <c r="AO238" s="461"/>
      <c r="AP238" s="461"/>
      <c r="AQ238" s="461"/>
      <c r="AR238" s="461"/>
      <c r="AS238" s="461"/>
    </row>
    <row r="239" spans="1:48" ht="15" hidden="1" customHeight="1">
      <c r="A239" s="273"/>
      <c r="B239" s="273"/>
      <c r="C239" s="273"/>
      <c r="D239" s="273"/>
      <c r="E239" s="273"/>
      <c r="F239" s="273"/>
      <c r="G239" s="273"/>
      <c r="H239" s="273"/>
      <c r="I239" s="32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X239" s="273"/>
      <c r="Y239" s="273"/>
      <c r="Z239" s="273"/>
      <c r="AA239" s="273"/>
      <c r="AB239" s="273"/>
      <c r="AC239" s="273"/>
      <c r="AE239" s="273"/>
      <c r="AF239" s="273"/>
      <c r="AG239" s="273"/>
      <c r="AH239" s="273"/>
      <c r="AI239" s="273"/>
      <c r="AJ239" s="273"/>
      <c r="AL239" s="273"/>
      <c r="AM239" s="273"/>
      <c r="AN239" s="323"/>
      <c r="AO239" s="461"/>
      <c r="AP239" s="461"/>
      <c r="AQ239" s="461"/>
      <c r="AR239" s="461"/>
      <c r="AS239" s="461"/>
    </row>
    <row r="240" spans="1:48" ht="15" hidden="1" customHeight="1">
      <c r="A240" s="273"/>
      <c r="B240" s="273"/>
      <c r="C240" s="273"/>
      <c r="D240" s="273"/>
      <c r="E240" s="273"/>
      <c r="F240" s="273"/>
      <c r="G240" s="273"/>
      <c r="H240" s="273"/>
      <c r="I240" s="32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X240" s="273"/>
      <c r="Y240" s="273"/>
      <c r="Z240" s="273"/>
      <c r="AA240" s="273"/>
      <c r="AB240" s="273"/>
      <c r="AC240" s="273"/>
      <c r="AE240" s="273"/>
      <c r="AF240" s="273"/>
      <c r="AG240" s="273"/>
      <c r="AH240" s="273"/>
      <c r="AI240" s="273"/>
      <c r="AJ240" s="273"/>
      <c r="AL240" s="273"/>
      <c r="AM240" s="273"/>
      <c r="AN240" s="323"/>
      <c r="AO240" s="461"/>
      <c r="AP240" s="461"/>
      <c r="AQ240" s="461"/>
      <c r="AR240" s="461"/>
      <c r="AS240" s="461"/>
    </row>
    <row r="241" spans="1:45" ht="15" hidden="1" customHeight="1">
      <c r="A241" s="273"/>
      <c r="B241" s="273"/>
      <c r="C241" s="273"/>
      <c r="D241" s="273"/>
      <c r="E241" s="273"/>
      <c r="F241" s="273"/>
      <c r="G241" s="273"/>
      <c r="H241" s="273"/>
      <c r="I241" s="32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X241" s="273"/>
      <c r="Y241" s="273"/>
      <c r="Z241" s="273"/>
      <c r="AA241" s="273"/>
      <c r="AB241" s="273"/>
      <c r="AC241" s="273"/>
      <c r="AE241" s="273"/>
      <c r="AF241" s="273"/>
      <c r="AG241" s="273"/>
      <c r="AH241" s="273"/>
      <c r="AI241" s="273"/>
      <c r="AJ241" s="273"/>
      <c r="AL241" s="273"/>
      <c r="AM241" s="273"/>
      <c r="AN241" s="323"/>
      <c r="AO241" s="461"/>
      <c r="AP241" s="461"/>
      <c r="AQ241" s="461"/>
      <c r="AR241" s="461"/>
      <c r="AS241" s="461"/>
    </row>
    <row r="242" spans="1:45" ht="15" hidden="1" customHeight="1">
      <c r="A242" s="273"/>
      <c r="B242" s="273"/>
      <c r="C242" s="273"/>
      <c r="D242" s="273"/>
      <c r="E242" s="273"/>
      <c r="F242" s="273"/>
      <c r="G242" s="273"/>
      <c r="H242" s="273"/>
      <c r="I242" s="32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X242" s="273"/>
      <c r="Y242" s="273"/>
      <c r="Z242" s="273"/>
      <c r="AA242" s="273"/>
      <c r="AB242" s="273"/>
      <c r="AC242" s="273"/>
      <c r="AE242" s="273"/>
      <c r="AF242" s="273"/>
      <c r="AG242" s="273"/>
      <c r="AH242" s="273"/>
      <c r="AI242" s="273"/>
      <c r="AJ242" s="273"/>
      <c r="AL242" s="273"/>
      <c r="AM242" s="273"/>
      <c r="AN242" s="323"/>
      <c r="AO242" s="461"/>
      <c r="AP242" s="461"/>
      <c r="AQ242" s="461"/>
      <c r="AR242" s="461"/>
      <c r="AS242" s="461"/>
    </row>
    <row r="243" spans="1:45" ht="15" hidden="1" customHeight="1">
      <c r="A243" s="273"/>
      <c r="B243" s="273"/>
      <c r="C243" s="273"/>
      <c r="D243" s="273"/>
      <c r="E243" s="273"/>
      <c r="F243" s="273"/>
      <c r="G243" s="273"/>
      <c r="H243" s="273"/>
      <c r="I243" s="32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X243" s="273"/>
      <c r="Y243" s="273"/>
      <c r="Z243" s="273"/>
      <c r="AA243" s="273"/>
      <c r="AB243" s="273"/>
      <c r="AC243" s="273"/>
      <c r="AE243" s="273"/>
      <c r="AF243" s="273"/>
      <c r="AG243" s="273"/>
      <c r="AH243" s="273"/>
      <c r="AI243" s="273"/>
      <c r="AJ243" s="273"/>
      <c r="AL243" s="273"/>
      <c r="AM243" s="273"/>
      <c r="AN243" s="323"/>
      <c r="AO243" s="461"/>
      <c r="AP243" s="461"/>
      <c r="AQ243" s="461"/>
      <c r="AR243" s="461"/>
      <c r="AS243" s="461"/>
    </row>
    <row r="244" spans="1:45" ht="15" hidden="1" customHeight="1">
      <c r="A244" s="273"/>
      <c r="B244" s="273"/>
      <c r="C244" s="273"/>
      <c r="D244" s="273"/>
      <c r="E244" s="273"/>
      <c r="F244" s="273"/>
      <c r="G244" s="273"/>
      <c r="H244" s="273"/>
      <c r="I244" s="32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X244" s="273"/>
      <c r="Y244" s="273"/>
      <c r="Z244" s="273"/>
      <c r="AA244" s="273"/>
      <c r="AB244" s="273"/>
      <c r="AC244" s="273"/>
      <c r="AE244" s="273"/>
      <c r="AF244" s="273"/>
      <c r="AG244" s="273"/>
      <c r="AH244" s="273"/>
      <c r="AI244" s="273"/>
      <c r="AJ244" s="273"/>
      <c r="AL244" s="273"/>
      <c r="AM244" s="273"/>
      <c r="AN244" s="323"/>
      <c r="AO244" s="461"/>
      <c r="AP244" s="461"/>
      <c r="AQ244" s="461"/>
      <c r="AR244" s="461"/>
      <c r="AS244" s="461"/>
    </row>
    <row r="245" spans="1:45" ht="15" hidden="1" customHeight="1">
      <c r="A245" s="273"/>
      <c r="B245" s="273"/>
      <c r="C245" s="273"/>
      <c r="D245" s="273"/>
      <c r="E245" s="273"/>
      <c r="F245" s="273"/>
      <c r="G245" s="273"/>
      <c r="H245" s="273"/>
      <c r="I245" s="32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X245" s="273"/>
      <c r="Y245" s="273"/>
      <c r="Z245" s="273"/>
      <c r="AA245" s="273"/>
      <c r="AB245" s="273"/>
      <c r="AC245" s="273"/>
      <c r="AE245" s="273"/>
      <c r="AF245" s="273"/>
      <c r="AG245" s="273"/>
      <c r="AH245" s="273"/>
      <c r="AI245" s="273"/>
      <c r="AJ245" s="273"/>
      <c r="AL245" s="273"/>
      <c r="AM245" s="273"/>
      <c r="AN245" s="323"/>
      <c r="AO245" s="461"/>
      <c r="AP245" s="461"/>
      <c r="AQ245" s="461"/>
      <c r="AR245" s="461"/>
      <c r="AS245" s="461"/>
    </row>
    <row r="246" spans="1:45" ht="15" hidden="1" customHeight="1">
      <c r="A246" s="273"/>
      <c r="B246" s="273"/>
      <c r="C246" s="273"/>
      <c r="D246" s="273"/>
      <c r="E246" s="273"/>
      <c r="F246" s="273"/>
      <c r="G246" s="273"/>
      <c r="H246" s="273"/>
      <c r="I246" s="323"/>
      <c r="J246" s="273"/>
      <c r="K246" s="273"/>
      <c r="L246" s="273"/>
      <c r="M246" s="273"/>
      <c r="N246" s="273"/>
      <c r="O246" s="273"/>
      <c r="P246" s="273"/>
      <c r="Q246" s="273"/>
      <c r="R246" s="273"/>
      <c r="S246" s="273"/>
      <c r="T246" s="273"/>
      <c r="U246" s="273"/>
      <c r="V246" s="273"/>
      <c r="X246" s="273"/>
      <c r="Y246" s="273"/>
      <c r="Z246" s="273"/>
      <c r="AA246" s="273"/>
      <c r="AB246" s="273"/>
      <c r="AC246" s="273"/>
      <c r="AE246" s="273"/>
      <c r="AF246" s="273"/>
      <c r="AG246" s="273"/>
      <c r="AH246" s="273"/>
      <c r="AI246" s="273"/>
      <c r="AJ246" s="273"/>
      <c r="AL246" s="273"/>
      <c r="AM246" s="273"/>
      <c r="AN246" s="323"/>
      <c r="AO246" s="461"/>
      <c r="AP246" s="461"/>
      <c r="AQ246" s="461"/>
      <c r="AR246" s="461"/>
      <c r="AS246" s="461"/>
    </row>
    <row r="247" spans="1:45" ht="15" hidden="1" customHeight="1">
      <c r="A247" s="273"/>
      <c r="B247" s="273"/>
      <c r="C247" s="273"/>
      <c r="D247" s="273"/>
      <c r="E247" s="273"/>
      <c r="F247" s="273"/>
      <c r="G247" s="273"/>
      <c r="H247" s="273"/>
      <c r="I247" s="323"/>
      <c r="J247" s="273"/>
      <c r="K247" s="273"/>
      <c r="L247" s="273"/>
      <c r="M247" s="273"/>
      <c r="N247" s="273"/>
      <c r="O247" s="273"/>
      <c r="P247" s="273"/>
      <c r="Q247" s="273"/>
      <c r="R247" s="273"/>
      <c r="S247" s="273"/>
      <c r="T247" s="273"/>
      <c r="U247" s="273"/>
      <c r="V247" s="273"/>
      <c r="X247" s="273"/>
      <c r="Y247" s="273"/>
      <c r="Z247" s="273"/>
      <c r="AA247" s="273"/>
      <c r="AB247" s="273"/>
      <c r="AC247" s="273"/>
      <c r="AE247" s="273"/>
      <c r="AF247" s="273"/>
      <c r="AG247" s="273"/>
      <c r="AH247" s="273"/>
      <c r="AI247" s="273"/>
      <c r="AJ247" s="273"/>
      <c r="AL247" s="273"/>
      <c r="AM247" s="273"/>
      <c r="AN247" s="323"/>
      <c r="AO247" s="461"/>
      <c r="AP247" s="461"/>
      <c r="AQ247" s="461"/>
      <c r="AR247" s="461"/>
      <c r="AS247" s="461"/>
    </row>
    <row r="248" spans="1:45" ht="15" hidden="1" customHeight="1">
      <c r="A248" s="273"/>
      <c r="B248" s="273"/>
      <c r="C248" s="273"/>
      <c r="D248" s="273"/>
      <c r="E248" s="273"/>
      <c r="F248" s="273"/>
      <c r="G248" s="273"/>
      <c r="H248" s="273"/>
      <c r="I248" s="323"/>
      <c r="J248" s="273"/>
      <c r="K248" s="273"/>
      <c r="L248" s="273"/>
      <c r="M248" s="273"/>
      <c r="N248" s="273"/>
      <c r="O248" s="273"/>
      <c r="P248" s="273"/>
      <c r="Q248" s="273"/>
      <c r="R248" s="273"/>
      <c r="S248" s="273"/>
      <c r="T248" s="273"/>
      <c r="U248" s="273"/>
      <c r="V248" s="273"/>
      <c r="X248" s="273"/>
      <c r="Y248" s="273"/>
      <c r="Z248" s="273"/>
      <c r="AA248" s="273"/>
      <c r="AB248" s="273"/>
      <c r="AC248" s="273"/>
      <c r="AE248" s="273"/>
      <c r="AF248" s="273"/>
      <c r="AG248" s="273"/>
      <c r="AH248" s="273"/>
      <c r="AI248" s="273"/>
      <c r="AJ248" s="273"/>
      <c r="AL248" s="273"/>
      <c r="AM248" s="273"/>
      <c r="AN248" s="323"/>
      <c r="AO248" s="461"/>
      <c r="AP248" s="461"/>
      <c r="AQ248" s="461"/>
      <c r="AR248" s="461"/>
      <c r="AS248" s="461"/>
    </row>
    <row r="249" spans="1:45" ht="15" hidden="1" customHeight="1">
      <c r="A249" s="273"/>
      <c r="B249" s="273"/>
      <c r="C249" s="273"/>
      <c r="D249" s="273"/>
      <c r="E249" s="273"/>
      <c r="F249" s="273"/>
      <c r="G249" s="273"/>
      <c r="H249" s="273"/>
      <c r="I249" s="323"/>
      <c r="J249" s="273"/>
      <c r="K249" s="273"/>
      <c r="L249" s="273"/>
      <c r="M249" s="273"/>
      <c r="N249" s="273"/>
      <c r="O249" s="273"/>
      <c r="P249" s="273"/>
      <c r="Q249" s="273"/>
      <c r="R249" s="273"/>
      <c r="S249" s="273"/>
      <c r="T249" s="273"/>
      <c r="U249" s="273"/>
      <c r="V249" s="273"/>
      <c r="X249" s="273"/>
      <c r="Y249" s="273"/>
      <c r="Z249" s="273"/>
      <c r="AA249" s="273"/>
      <c r="AB249" s="273"/>
      <c r="AC249" s="273"/>
      <c r="AE249" s="273"/>
      <c r="AF249" s="273"/>
      <c r="AG249" s="273"/>
      <c r="AH249" s="273"/>
      <c r="AI249" s="273"/>
      <c r="AJ249" s="273"/>
      <c r="AL249" s="273"/>
      <c r="AM249" s="273"/>
      <c r="AN249" s="323"/>
      <c r="AO249" s="461"/>
      <c r="AP249" s="461"/>
      <c r="AQ249" s="461"/>
      <c r="AR249" s="461"/>
      <c r="AS249" s="461"/>
    </row>
    <row r="250" spans="1:45" ht="15" hidden="1" customHeight="1">
      <c r="A250" s="273"/>
      <c r="B250" s="273"/>
      <c r="C250" s="273"/>
      <c r="D250" s="273"/>
      <c r="E250" s="273"/>
      <c r="F250" s="273"/>
      <c r="G250" s="273"/>
      <c r="H250" s="273"/>
      <c r="I250" s="323"/>
      <c r="J250" s="273"/>
      <c r="K250" s="273"/>
      <c r="L250" s="273"/>
      <c r="M250" s="273"/>
      <c r="N250" s="273"/>
      <c r="O250" s="273"/>
      <c r="P250" s="273"/>
      <c r="Q250" s="273"/>
      <c r="R250" s="273"/>
      <c r="S250" s="273"/>
      <c r="T250" s="273"/>
      <c r="U250" s="273"/>
      <c r="V250" s="273"/>
      <c r="X250" s="273"/>
      <c r="Y250" s="273"/>
      <c r="Z250" s="273"/>
      <c r="AA250" s="273"/>
      <c r="AB250" s="273"/>
      <c r="AC250" s="273"/>
      <c r="AE250" s="273"/>
      <c r="AF250" s="273"/>
      <c r="AG250" s="273"/>
      <c r="AH250" s="273"/>
      <c r="AI250" s="273"/>
      <c r="AJ250" s="273"/>
      <c r="AL250" s="273"/>
      <c r="AM250" s="273"/>
      <c r="AN250" s="323"/>
      <c r="AO250" s="461"/>
      <c r="AP250" s="461"/>
      <c r="AQ250" s="461"/>
      <c r="AR250" s="461"/>
      <c r="AS250" s="461"/>
    </row>
    <row r="251" spans="1:45" ht="15" hidden="1" customHeight="1">
      <c r="A251" s="273"/>
      <c r="B251" s="273"/>
      <c r="C251" s="273"/>
      <c r="D251" s="273"/>
      <c r="E251" s="273"/>
      <c r="F251" s="273"/>
      <c r="G251" s="273"/>
      <c r="H251" s="273"/>
      <c r="I251" s="323"/>
      <c r="J251" s="273"/>
      <c r="K251" s="273"/>
      <c r="L251" s="273"/>
      <c r="M251" s="273"/>
      <c r="N251" s="273"/>
      <c r="O251" s="273"/>
      <c r="P251" s="273"/>
      <c r="Q251" s="273"/>
      <c r="R251" s="273"/>
      <c r="S251" s="273"/>
      <c r="T251" s="273"/>
      <c r="U251" s="273"/>
      <c r="V251" s="273"/>
      <c r="X251" s="273"/>
      <c r="Y251" s="273"/>
      <c r="Z251" s="273"/>
      <c r="AA251" s="273"/>
      <c r="AB251" s="273"/>
      <c r="AC251" s="273"/>
      <c r="AE251" s="273"/>
      <c r="AF251" s="273"/>
      <c r="AG251" s="273"/>
      <c r="AH251" s="273"/>
      <c r="AI251" s="273"/>
      <c r="AJ251" s="273"/>
      <c r="AL251" s="273"/>
      <c r="AM251" s="273"/>
      <c r="AN251" s="323"/>
      <c r="AO251" s="461"/>
      <c r="AP251" s="461"/>
      <c r="AQ251" s="461"/>
      <c r="AR251" s="461"/>
      <c r="AS251" s="461"/>
    </row>
    <row r="252" spans="1:45" ht="15" hidden="1" customHeight="1">
      <c r="A252" s="273"/>
      <c r="B252" s="273"/>
      <c r="C252" s="273"/>
      <c r="D252" s="273"/>
      <c r="E252" s="273"/>
      <c r="F252" s="273"/>
      <c r="G252" s="273"/>
      <c r="H252" s="273"/>
      <c r="I252" s="323"/>
      <c r="J252" s="273"/>
      <c r="K252" s="273"/>
      <c r="L252" s="273"/>
      <c r="M252" s="273"/>
      <c r="N252" s="273"/>
      <c r="O252" s="273"/>
      <c r="P252" s="273"/>
      <c r="Q252" s="273"/>
      <c r="R252" s="273"/>
      <c r="S252" s="273"/>
      <c r="T252" s="273"/>
      <c r="U252" s="273"/>
      <c r="V252" s="273"/>
      <c r="X252" s="273"/>
      <c r="Y252" s="273"/>
      <c r="Z252" s="273"/>
      <c r="AA252" s="273"/>
      <c r="AB252" s="273"/>
      <c r="AC252" s="273"/>
      <c r="AE252" s="273"/>
      <c r="AF252" s="273"/>
      <c r="AG252" s="273"/>
      <c r="AH252" s="273"/>
      <c r="AI252" s="273"/>
      <c r="AJ252" s="273"/>
      <c r="AL252" s="273"/>
      <c r="AM252" s="273"/>
      <c r="AN252" s="323"/>
      <c r="AO252" s="461"/>
      <c r="AP252" s="461"/>
      <c r="AQ252" s="461"/>
      <c r="AR252" s="461"/>
      <c r="AS252" s="461"/>
    </row>
    <row r="253" spans="1:45" ht="15" hidden="1" customHeight="1">
      <c r="A253" s="273"/>
      <c r="B253" s="273"/>
      <c r="C253" s="273"/>
      <c r="D253" s="273"/>
      <c r="E253" s="273"/>
      <c r="F253" s="273"/>
      <c r="G253" s="273"/>
      <c r="H253" s="273"/>
      <c r="I253" s="323"/>
      <c r="J253" s="273"/>
      <c r="K253" s="273"/>
      <c r="L253" s="273"/>
      <c r="M253" s="273"/>
      <c r="N253" s="273"/>
      <c r="O253" s="273"/>
      <c r="P253" s="273"/>
      <c r="Q253" s="273"/>
      <c r="R253" s="273"/>
      <c r="S253" s="273"/>
      <c r="T253" s="273"/>
      <c r="U253" s="273"/>
      <c r="V253" s="273"/>
      <c r="X253" s="273"/>
      <c r="Y253" s="273"/>
      <c r="Z253" s="273"/>
      <c r="AA253" s="273"/>
      <c r="AB253" s="273"/>
      <c r="AC253" s="273"/>
      <c r="AE253" s="273"/>
      <c r="AF253" s="273"/>
      <c r="AG253" s="273"/>
      <c r="AH253" s="273"/>
      <c r="AI253" s="273"/>
      <c r="AJ253" s="273"/>
      <c r="AL253" s="273"/>
      <c r="AM253" s="273"/>
      <c r="AN253" s="323"/>
      <c r="AO253" s="461"/>
      <c r="AP253" s="461"/>
      <c r="AQ253" s="461"/>
      <c r="AR253" s="461"/>
      <c r="AS253" s="461"/>
    </row>
    <row r="254" spans="1:45" ht="15" hidden="1" customHeight="1">
      <c r="A254" s="273"/>
      <c r="B254" s="273"/>
      <c r="C254" s="273"/>
      <c r="D254" s="273"/>
      <c r="E254" s="273"/>
      <c r="F254" s="273"/>
      <c r="G254" s="273"/>
      <c r="H254" s="273"/>
      <c r="I254" s="323"/>
      <c r="J254" s="273"/>
      <c r="K254" s="273"/>
      <c r="L254" s="273"/>
      <c r="M254" s="273"/>
      <c r="N254" s="273"/>
      <c r="O254" s="273"/>
      <c r="P254" s="273"/>
      <c r="Q254" s="273"/>
      <c r="R254" s="273"/>
      <c r="S254" s="273"/>
      <c r="T254" s="273"/>
      <c r="U254" s="273"/>
      <c r="V254" s="273"/>
      <c r="X254" s="273"/>
      <c r="Y254" s="273"/>
      <c r="Z254" s="273"/>
      <c r="AA254" s="273"/>
      <c r="AB254" s="273"/>
      <c r="AC254" s="273"/>
      <c r="AE254" s="273"/>
      <c r="AF254" s="273"/>
      <c r="AG254" s="273"/>
      <c r="AH254" s="273"/>
      <c r="AI254" s="273"/>
      <c r="AJ254" s="273"/>
      <c r="AL254" s="273"/>
      <c r="AM254" s="273"/>
      <c r="AN254" s="323"/>
      <c r="AO254" s="461"/>
      <c r="AP254" s="461"/>
      <c r="AQ254" s="461"/>
      <c r="AR254" s="461"/>
      <c r="AS254" s="461"/>
    </row>
    <row r="255" spans="1:45" ht="15" hidden="1" customHeight="1">
      <c r="A255" s="273"/>
      <c r="B255" s="273"/>
      <c r="C255" s="273"/>
      <c r="D255" s="273"/>
      <c r="E255" s="273"/>
      <c r="F255" s="273"/>
      <c r="G255" s="273"/>
      <c r="H255" s="273"/>
      <c r="I255" s="323"/>
      <c r="J255" s="273"/>
      <c r="K255" s="273"/>
      <c r="L255" s="273"/>
      <c r="M255" s="273"/>
      <c r="N255" s="273"/>
      <c r="O255" s="273"/>
      <c r="P255" s="273"/>
      <c r="Q255" s="273"/>
      <c r="R255" s="273"/>
      <c r="S255" s="273"/>
      <c r="T255" s="273"/>
      <c r="U255" s="273"/>
      <c r="V255" s="273"/>
      <c r="X255" s="273"/>
      <c r="Y255" s="273"/>
      <c r="Z255" s="273"/>
      <c r="AA255" s="273"/>
      <c r="AB255" s="273"/>
      <c r="AC255" s="273"/>
      <c r="AE255" s="273"/>
      <c r="AF255" s="273"/>
      <c r="AG255" s="273"/>
      <c r="AH255" s="273"/>
      <c r="AI255" s="273"/>
      <c r="AJ255" s="273"/>
      <c r="AL255" s="273"/>
      <c r="AM255" s="273"/>
      <c r="AN255" s="323"/>
      <c r="AO255" s="461"/>
      <c r="AP255" s="461"/>
      <c r="AQ255" s="461"/>
      <c r="AR255" s="461"/>
      <c r="AS255" s="461"/>
    </row>
    <row r="256" spans="1:45" ht="15" hidden="1" customHeight="1">
      <c r="A256" s="273"/>
      <c r="B256" s="273"/>
      <c r="C256" s="273"/>
      <c r="D256" s="273"/>
      <c r="E256" s="273"/>
      <c r="F256" s="273"/>
      <c r="G256" s="273"/>
      <c r="H256" s="273"/>
      <c r="I256" s="323"/>
      <c r="J256" s="273"/>
      <c r="K256" s="273"/>
      <c r="L256" s="273"/>
      <c r="M256" s="273"/>
      <c r="N256" s="273"/>
      <c r="O256" s="273"/>
      <c r="P256" s="273"/>
      <c r="Q256" s="273"/>
      <c r="R256" s="273"/>
      <c r="S256" s="273"/>
      <c r="T256" s="273"/>
      <c r="U256" s="273"/>
      <c r="V256" s="273"/>
      <c r="X256" s="273"/>
      <c r="Y256" s="273"/>
      <c r="Z256" s="273"/>
      <c r="AA256" s="273"/>
      <c r="AB256" s="273"/>
      <c r="AC256" s="273"/>
      <c r="AE256" s="273"/>
      <c r="AF256" s="273"/>
      <c r="AG256" s="273"/>
      <c r="AH256" s="273"/>
      <c r="AI256" s="273"/>
      <c r="AJ256" s="273"/>
      <c r="AL256" s="273"/>
      <c r="AM256" s="273"/>
      <c r="AN256" s="323"/>
      <c r="AO256" s="461"/>
      <c r="AP256" s="461"/>
      <c r="AQ256" s="461"/>
      <c r="AR256" s="461"/>
      <c r="AS256" s="461"/>
    </row>
    <row r="257" spans="1:45" ht="15" hidden="1" customHeight="1">
      <c r="A257" s="273"/>
      <c r="B257" s="273"/>
      <c r="C257" s="273"/>
      <c r="D257" s="273"/>
      <c r="E257" s="273"/>
      <c r="F257" s="273"/>
      <c r="G257" s="273"/>
      <c r="H257" s="273"/>
      <c r="I257" s="323"/>
      <c r="J257" s="273"/>
      <c r="K257" s="273"/>
      <c r="L257" s="273"/>
      <c r="M257" s="273"/>
      <c r="N257" s="273"/>
      <c r="O257" s="273"/>
      <c r="P257" s="273"/>
      <c r="Q257" s="273"/>
      <c r="R257" s="273"/>
      <c r="S257" s="273"/>
      <c r="T257" s="273"/>
      <c r="U257" s="273"/>
      <c r="V257" s="273"/>
      <c r="X257" s="273"/>
      <c r="Y257" s="273"/>
      <c r="Z257" s="273"/>
      <c r="AA257" s="273"/>
      <c r="AB257" s="273"/>
      <c r="AC257" s="273"/>
      <c r="AE257" s="273"/>
      <c r="AF257" s="273"/>
      <c r="AG257" s="273"/>
      <c r="AH257" s="273"/>
      <c r="AI257" s="273"/>
      <c r="AJ257" s="273"/>
      <c r="AL257" s="273"/>
      <c r="AM257" s="273"/>
      <c r="AN257" s="323"/>
      <c r="AO257" s="461"/>
      <c r="AP257" s="461"/>
      <c r="AQ257" s="461"/>
      <c r="AR257" s="461"/>
      <c r="AS257" s="461"/>
    </row>
    <row r="258" spans="1:45" ht="15" hidden="1" customHeight="1">
      <c r="A258" s="273"/>
      <c r="B258" s="273"/>
      <c r="C258" s="273"/>
      <c r="D258" s="273"/>
      <c r="E258" s="273"/>
      <c r="F258" s="273"/>
      <c r="G258" s="273"/>
      <c r="H258" s="273"/>
      <c r="I258" s="323"/>
      <c r="J258" s="273"/>
      <c r="K258" s="273"/>
      <c r="L258" s="273"/>
      <c r="M258" s="273"/>
      <c r="N258" s="273"/>
      <c r="O258" s="273"/>
      <c r="P258" s="273"/>
      <c r="Q258" s="273"/>
      <c r="R258" s="273"/>
      <c r="S258" s="273"/>
      <c r="T258" s="273"/>
      <c r="U258" s="273"/>
      <c r="V258" s="273"/>
      <c r="X258" s="273"/>
      <c r="Y258" s="273"/>
      <c r="Z258" s="273"/>
      <c r="AA258" s="273"/>
      <c r="AB258" s="273"/>
      <c r="AC258" s="273"/>
      <c r="AE258" s="273"/>
      <c r="AF258" s="273"/>
      <c r="AG258" s="273"/>
      <c r="AH258" s="273"/>
      <c r="AI258" s="273"/>
      <c r="AJ258" s="273"/>
      <c r="AL258" s="273"/>
      <c r="AM258" s="273"/>
      <c r="AN258" s="323"/>
      <c r="AO258" s="461"/>
      <c r="AP258" s="461"/>
      <c r="AQ258" s="461"/>
      <c r="AR258" s="461"/>
      <c r="AS258" s="461"/>
    </row>
    <row r="259" spans="1:45" ht="15" hidden="1" customHeight="1">
      <c r="A259" s="273"/>
      <c r="B259" s="273"/>
      <c r="C259" s="273"/>
      <c r="D259" s="273"/>
      <c r="E259" s="273"/>
      <c r="F259" s="273"/>
      <c r="G259" s="273"/>
      <c r="H259" s="273"/>
      <c r="I259" s="323"/>
      <c r="J259" s="273"/>
      <c r="K259" s="273"/>
      <c r="L259" s="273"/>
      <c r="M259" s="273"/>
      <c r="N259" s="273"/>
      <c r="O259" s="273"/>
      <c r="P259" s="273"/>
      <c r="Q259" s="273"/>
      <c r="R259" s="273"/>
      <c r="S259" s="273"/>
      <c r="T259" s="273"/>
      <c r="U259" s="273"/>
      <c r="V259" s="273"/>
      <c r="X259" s="273"/>
      <c r="Y259" s="273"/>
      <c r="Z259" s="273"/>
      <c r="AA259" s="273"/>
      <c r="AB259" s="273"/>
      <c r="AC259" s="273"/>
      <c r="AE259" s="273"/>
      <c r="AF259" s="273"/>
      <c r="AG259" s="273"/>
      <c r="AH259" s="273"/>
      <c r="AI259" s="273"/>
      <c r="AJ259" s="273"/>
      <c r="AL259" s="273"/>
      <c r="AM259" s="273"/>
      <c r="AN259" s="323"/>
      <c r="AO259" s="461"/>
      <c r="AP259" s="461"/>
      <c r="AQ259" s="461"/>
      <c r="AR259" s="461"/>
      <c r="AS259" s="461"/>
    </row>
    <row r="260" spans="1:45" ht="15" hidden="1" customHeight="1">
      <c r="A260" s="273"/>
      <c r="B260" s="273"/>
      <c r="C260" s="273"/>
      <c r="D260" s="273"/>
      <c r="E260" s="273"/>
      <c r="F260" s="273"/>
      <c r="G260" s="273"/>
      <c r="H260" s="273"/>
      <c r="I260" s="323"/>
      <c r="J260" s="273"/>
      <c r="K260" s="273"/>
      <c r="L260" s="273"/>
      <c r="M260" s="273"/>
      <c r="N260" s="273"/>
      <c r="O260" s="273"/>
      <c r="P260" s="273"/>
      <c r="Q260" s="273"/>
      <c r="R260" s="273"/>
      <c r="S260" s="273"/>
      <c r="T260" s="273"/>
      <c r="U260" s="273"/>
      <c r="V260" s="273"/>
      <c r="X260" s="273"/>
      <c r="Y260" s="273"/>
      <c r="Z260" s="273"/>
      <c r="AA260" s="273"/>
      <c r="AB260" s="273"/>
      <c r="AC260" s="273"/>
      <c r="AE260" s="273"/>
      <c r="AF260" s="273"/>
      <c r="AG260" s="273"/>
      <c r="AH260" s="273"/>
      <c r="AI260" s="273"/>
      <c r="AJ260" s="273"/>
      <c r="AL260" s="273"/>
      <c r="AM260" s="273"/>
      <c r="AN260" s="323"/>
      <c r="AO260" s="461"/>
      <c r="AP260" s="461"/>
      <c r="AQ260" s="461"/>
      <c r="AR260" s="461"/>
      <c r="AS260" s="461"/>
    </row>
    <row r="261" spans="1:45" ht="15" hidden="1" customHeight="1">
      <c r="A261" s="273"/>
      <c r="B261" s="273"/>
      <c r="C261" s="273"/>
      <c r="D261" s="273"/>
      <c r="E261" s="273"/>
      <c r="F261" s="273"/>
      <c r="G261" s="273"/>
      <c r="H261" s="273"/>
      <c r="I261" s="323"/>
      <c r="J261" s="273"/>
      <c r="K261" s="273"/>
      <c r="L261" s="273"/>
      <c r="M261" s="273"/>
      <c r="N261" s="273"/>
      <c r="O261" s="273"/>
      <c r="P261" s="273"/>
      <c r="Q261" s="273"/>
      <c r="R261" s="273"/>
      <c r="S261" s="273"/>
      <c r="T261" s="273"/>
      <c r="U261" s="273"/>
      <c r="V261" s="273"/>
      <c r="X261" s="273"/>
      <c r="Y261" s="273"/>
      <c r="Z261" s="273"/>
      <c r="AA261" s="273"/>
      <c r="AB261" s="273"/>
      <c r="AC261" s="273"/>
      <c r="AE261" s="273"/>
      <c r="AF261" s="273"/>
      <c r="AG261" s="273"/>
      <c r="AH261" s="273"/>
      <c r="AI261" s="273"/>
      <c r="AJ261" s="273"/>
      <c r="AL261" s="273"/>
      <c r="AM261" s="273"/>
      <c r="AN261" s="323"/>
      <c r="AO261" s="461"/>
      <c r="AP261" s="461"/>
      <c r="AQ261" s="461"/>
      <c r="AR261" s="461"/>
      <c r="AS261" s="461"/>
    </row>
    <row r="262" spans="1:45" ht="15" hidden="1" customHeight="1">
      <c r="A262" s="273"/>
      <c r="B262" s="273"/>
      <c r="C262" s="273"/>
      <c r="D262" s="273"/>
      <c r="E262" s="273"/>
      <c r="F262" s="273"/>
      <c r="G262" s="273"/>
      <c r="H262" s="273"/>
      <c r="I262" s="323"/>
      <c r="J262" s="273"/>
      <c r="K262" s="273"/>
      <c r="L262" s="273"/>
      <c r="M262" s="273"/>
      <c r="N262" s="273"/>
      <c r="O262" s="273"/>
      <c r="P262" s="273"/>
      <c r="Q262" s="273"/>
      <c r="R262" s="273"/>
      <c r="S262" s="273"/>
      <c r="T262" s="273"/>
      <c r="U262" s="273"/>
      <c r="V262" s="273"/>
      <c r="X262" s="273"/>
      <c r="Y262" s="273"/>
      <c r="Z262" s="273"/>
      <c r="AA262" s="273"/>
      <c r="AB262" s="273"/>
      <c r="AC262" s="273"/>
      <c r="AE262" s="273"/>
      <c r="AF262" s="273"/>
      <c r="AG262" s="273"/>
      <c r="AH262" s="273"/>
      <c r="AI262" s="273"/>
      <c r="AJ262" s="273"/>
      <c r="AL262" s="273"/>
      <c r="AM262" s="273"/>
      <c r="AN262" s="323"/>
      <c r="AO262" s="461"/>
      <c r="AP262" s="461"/>
      <c r="AQ262" s="461"/>
      <c r="AR262" s="461"/>
      <c r="AS262" s="461"/>
    </row>
    <row r="263" spans="1:45" ht="15" hidden="1" customHeight="1">
      <c r="A263" s="273"/>
      <c r="B263" s="273"/>
      <c r="C263" s="273"/>
      <c r="D263" s="273"/>
      <c r="E263" s="273"/>
      <c r="F263" s="273"/>
      <c r="G263" s="273"/>
      <c r="H263" s="273"/>
      <c r="I263" s="323"/>
      <c r="J263" s="273"/>
      <c r="K263" s="273"/>
      <c r="L263" s="273"/>
      <c r="M263" s="273"/>
      <c r="N263" s="273"/>
      <c r="O263" s="273"/>
      <c r="P263" s="273"/>
      <c r="Q263" s="273"/>
      <c r="R263" s="273"/>
      <c r="S263" s="273"/>
      <c r="T263" s="273"/>
      <c r="U263" s="273"/>
      <c r="V263" s="273"/>
      <c r="X263" s="273"/>
      <c r="Y263" s="273"/>
      <c r="Z263" s="273"/>
      <c r="AA263" s="273"/>
      <c r="AB263" s="273"/>
      <c r="AC263" s="273"/>
      <c r="AE263" s="273"/>
      <c r="AF263" s="273"/>
      <c r="AG263" s="273"/>
      <c r="AH263" s="273"/>
      <c r="AI263" s="273"/>
      <c r="AJ263" s="273"/>
      <c r="AL263" s="273"/>
      <c r="AM263" s="273"/>
      <c r="AN263" s="323"/>
      <c r="AO263" s="461"/>
      <c r="AP263" s="461"/>
      <c r="AQ263" s="461"/>
      <c r="AR263" s="461"/>
      <c r="AS263" s="461"/>
    </row>
    <row r="264" spans="1:45" ht="15" hidden="1" customHeight="1">
      <c r="A264" s="273"/>
      <c r="B264" s="273"/>
      <c r="C264" s="273"/>
      <c r="D264" s="273"/>
      <c r="E264" s="273"/>
      <c r="F264" s="273"/>
      <c r="G264" s="273"/>
      <c r="H264" s="273"/>
      <c r="I264" s="323"/>
      <c r="J264" s="273"/>
      <c r="K264" s="273"/>
      <c r="L264" s="273"/>
      <c r="M264" s="273"/>
      <c r="N264" s="273"/>
      <c r="O264" s="273"/>
      <c r="P264" s="273"/>
      <c r="Q264" s="273"/>
      <c r="R264" s="273"/>
      <c r="S264" s="273"/>
      <c r="T264" s="273"/>
      <c r="U264" s="273"/>
      <c r="V264" s="273"/>
      <c r="X264" s="273"/>
      <c r="Y264" s="273"/>
      <c r="Z264" s="273"/>
      <c r="AA264" s="273"/>
      <c r="AB264" s="273"/>
      <c r="AC264" s="273"/>
      <c r="AE264" s="273"/>
      <c r="AF264" s="273"/>
      <c r="AG264" s="273"/>
      <c r="AH264" s="273"/>
      <c r="AI264" s="273"/>
      <c r="AJ264" s="273"/>
      <c r="AL264" s="273"/>
      <c r="AM264" s="273"/>
      <c r="AN264" s="323"/>
      <c r="AO264" s="461"/>
      <c r="AP264" s="461"/>
      <c r="AQ264" s="461"/>
      <c r="AR264" s="461"/>
      <c r="AS264" s="461"/>
    </row>
    <row r="265" spans="1:45" ht="15" hidden="1" customHeight="1">
      <c r="A265" s="273"/>
      <c r="B265" s="273"/>
      <c r="C265" s="273"/>
      <c r="D265" s="273"/>
      <c r="E265" s="273"/>
      <c r="F265" s="273"/>
      <c r="G265" s="273"/>
      <c r="H265" s="273"/>
      <c r="I265" s="323"/>
      <c r="J265" s="273"/>
      <c r="K265" s="273"/>
      <c r="L265" s="273"/>
      <c r="M265" s="273"/>
      <c r="N265" s="273"/>
      <c r="O265" s="273"/>
      <c r="P265" s="273"/>
      <c r="Q265" s="273"/>
      <c r="R265" s="273"/>
      <c r="S265" s="273"/>
      <c r="T265" s="273"/>
      <c r="U265" s="273"/>
      <c r="V265" s="273"/>
      <c r="X265" s="273"/>
      <c r="Y265" s="273"/>
      <c r="Z265" s="273"/>
      <c r="AA265" s="273"/>
      <c r="AB265" s="273"/>
      <c r="AC265" s="273"/>
      <c r="AE265" s="273"/>
      <c r="AF265" s="273"/>
      <c r="AG265" s="273"/>
      <c r="AH265" s="273"/>
      <c r="AI265" s="273"/>
      <c r="AJ265" s="273"/>
      <c r="AL265" s="273"/>
      <c r="AM265" s="273"/>
      <c r="AN265" s="323"/>
      <c r="AO265" s="461"/>
      <c r="AP265" s="461"/>
      <c r="AQ265" s="461"/>
      <c r="AR265" s="461"/>
      <c r="AS265" s="461"/>
    </row>
    <row r="266" spans="1:45" ht="15" hidden="1" customHeight="1">
      <c r="A266" s="273"/>
      <c r="B266" s="273"/>
      <c r="C266" s="273"/>
      <c r="D266" s="273"/>
      <c r="E266" s="273"/>
      <c r="F266" s="273"/>
      <c r="G266" s="273"/>
      <c r="H266" s="273"/>
      <c r="I266" s="323"/>
      <c r="J266" s="273"/>
      <c r="K266" s="273"/>
      <c r="L266" s="273"/>
      <c r="M266" s="273"/>
      <c r="N266" s="273"/>
      <c r="O266" s="273"/>
      <c r="P266" s="273"/>
      <c r="Q266" s="273"/>
      <c r="R266" s="273"/>
      <c r="S266" s="273"/>
      <c r="T266" s="273"/>
      <c r="U266" s="273"/>
      <c r="V266" s="273"/>
      <c r="X266" s="273"/>
      <c r="Y266" s="273"/>
      <c r="Z266" s="273"/>
      <c r="AA266" s="273"/>
      <c r="AB266" s="273"/>
      <c r="AC266" s="273"/>
      <c r="AE266" s="273"/>
      <c r="AF266" s="273"/>
      <c r="AG266" s="273"/>
      <c r="AH266" s="273"/>
      <c r="AI266" s="273"/>
      <c r="AJ266" s="273"/>
      <c r="AL266" s="273"/>
      <c r="AM266" s="273"/>
      <c r="AN266" s="323"/>
      <c r="AO266" s="461"/>
      <c r="AP266" s="461"/>
      <c r="AQ266" s="461"/>
      <c r="AR266" s="461"/>
      <c r="AS266" s="461"/>
    </row>
    <row r="267" spans="1:45" ht="15" hidden="1" customHeight="1">
      <c r="A267" s="273"/>
      <c r="B267" s="273"/>
      <c r="C267" s="273"/>
      <c r="D267" s="273"/>
      <c r="E267" s="273"/>
      <c r="F267" s="273"/>
      <c r="G267" s="273"/>
      <c r="H267" s="273"/>
      <c r="I267" s="323"/>
      <c r="J267" s="273"/>
      <c r="K267" s="273"/>
      <c r="L267" s="273"/>
      <c r="M267" s="273"/>
      <c r="N267" s="273"/>
      <c r="O267" s="273"/>
      <c r="P267" s="273"/>
      <c r="Q267" s="273"/>
      <c r="R267" s="273"/>
      <c r="S267" s="273"/>
      <c r="T267" s="273"/>
      <c r="U267" s="273"/>
      <c r="V267" s="273"/>
      <c r="X267" s="273"/>
      <c r="Y267" s="273"/>
      <c r="Z267" s="273"/>
      <c r="AA267" s="273"/>
      <c r="AB267" s="273"/>
      <c r="AC267" s="273"/>
      <c r="AE267" s="273"/>
      <c r="AF267" s="273"/>
      <c r="AG267" s="273"/>
      <c r="AH267" s="273"/>
      <c r="AI267" s="273"/>
      <c r="AJ267" s="273"/>
      <c r="AL267" s="273"/>
      <c r="AM267" s="273"/>
      <c r="AN267" s="323"/>
      <c r="AO267" s="461"/>
      <c r="AP267" s="461"/>
      <c r="AQ267" s="461"/>
      <c r="AR267" s="461"/>
      <c r="AS267" s="461"/>
    </row>
    <row r="268" spans="1:45" ht="15" hidden="1" customHeight="1">
      <c r="A268" s="273"/>
      <c r="B268" s="273"/>
      <c r="C268" s="273"/>
      <c r="D268" s="273"/>
      <c r="E268" s="273"/>
      <c r="F268" s="273"/>
      <c r="G268" s="273"/>
      <c r="H268" s="273"/>
      <c r="I268" s="323"/>
      <c r="J268" s="273"/>
      <c r="K268" s="273"/>
      <c r="L268" s="273"/>
      <c r="M268" s="273"/>
      <c r="N268" s="273"/>
      <c r="O268" s="273"/>
      <c r="P268" s="273"/>
      <c r="Q268" s="273"/>
      <c r="R268" s="273"/>
      <c r="S268" s="273"/>
      <c r="T268" s="273"/>
      <c r="U268" s="273"/>
      <c r="V268" s="273"/>
      <c r="X268" s="273"/>
      <c r="Y268" s="273"/>
      <c r="Z268" s="273"/>
      <c r="AA268" s="273"/>
      <c r="AB268" s="273"/>
      <c r="AC268" s="273"/>
      <c r="AE268" s="273"/>
      <c r="AF268" s="273"/>
      <c r="AG268" s="273"/>
      <c r="AH268" s="273"/>
      <c r="AI268" s="273"/>
      <c r="AJ268" s="273"/>
      <c r="AL268" s="273"/>
      <c r="AM268" s="273"/>
      <c r="AN268" s="323"/>
      <c r="AO268" s="461"/>
      <c r="AP268" s="461"/>
      <c r="AQ268" s="461"/>
      <c r="AR268" s="461"/>
      <c r="AS268" s="461"/>
    </row>
    <row r="269" spans="1:45" ht="15" hidden="1" customHeight="1">
      <c r="A269" s="273"/>
      <c r="B269" s="273"/>
      <c r="C269" s="273"/>
      <c r="D269" s="273"/>
      <c r="E269" s="273"/>
      <c r="F269" s="273"/>
      <c r="G269" s="273"/>
      <c r="H269" s="273"/>
      <c r="I269" s="323"/>
      <c r="J269" s="273"/>
      <c r="K269" s="273"/>
      <c r="L269" s="273"/>
      <c r="M269" s="273"/>
      <c r="N269" s="273"/>
      <c r="O269" s="273"/>
      <c r="P269" s="273"/>
      <c r="Q269" s="273"/>
      <c r="R269" s="273"/>
      <c r="S269" s="273"/>
      <c r="T269" s="273"/>
      <c r="U269" s="273"/>
      <c r="V269" s="273"/>
      <c r="X269" s="273"/>
      <c r="Y269" s="273"/>
      <c r="Z269" s="273"/>
      <c r="AA269" s="273"/>
      <c r="AB269" s="273"/>
      <c r="AC269" s="273"/>
      <c r="AE269" s="273"/>
      <c r="AF269" s="273"/>
      <c r="AG269" s="273"/>
      <c r="AH269" s="273"/>
      <c r="AI269" s="273"/>
      <c r="AJ269" s="273"/>
      <c r="AL269" s="273"/>
      <c r="AM269" s="273"/>
      <c r="AN269" s="323"/>
      <c r="AO269" s="461"/>
      <c r="AP269" s="461"/>
      <c r="AQ269" s="461"/>
      <c r="AR269" s="461"/>
      <c r="AS269" s="461"/>
    </row>
    <row r="270" spans="1:45" ht="15" hidden="1" customHeight="1">
      <c r="A270" s="273"/>
      <c r="B270" s="273"/>
      <c r="C270" s="273"/>
      <c r="D270" s="273"/>
      <c r="E270" s="273"/>
      <c r="F270" s="273"/>
      <c r="G270" s="273"/>
      <c r="H270" s="273"/>
      <c r="I270" s="323"/>
      <c r="J270" s="273"/>
      <c r="K270" s="273"/>
      <c r="L270" s="273"/>
      <c r="M270" s="273"/>
      <c r="N270" s="273"/>
      <c r="O270" s="273"/>
      <c r="P270" s="273"/>
      <c r="Q270" s="273"/>
      <c r="R270" s="273"/>
      <c r="S270" s="273"/>
      <c r="T270" s="273"/>
      <c r="U270" s="273"/>
      <c r="V270" s="273"/>
      <c r="X270" s="273"/>
      <c r="Y270" s="273"/>
      <c r="Z270" s="273"/>
      <c r="AA270" s="273"/>
      <c r="AB270" s="273"/>
      <c r="AC270" s="273"/>
      <c r="AE270" s="273"/>
      <c r="AF270" s="273"/>
      <c r="AG270" s="273"/>
      <c r="AH270" s="273"/>
      <c r="AI270" s="273"/>
      <c r="AJ270" s="273"/>
      <c r="AL270" s="273"/>
      <c r="AM270" s="273"/>
      <c r="AN270" s="323"/>
      <c r="AO270" s="461"/>
      <c r="AP270" s="461"/>
      <c r="AQ270" s="461"/>
      <c r="AR270" s="461"/>
      <c r="AS270" s="461"/>
    </row>
    <row r="271" spans="1:45" ht="15" hidden="1" customHeight="1">
      <c r="A271" s="273"/>
      <c r="B271" s="273"/>
      <c r="C271" s="273"/>
      <c r="D271" s="273"/>
      <c r="E271" s="273"/>
      <c r="F271" s="273"/>
      <c r="G271" s="273"/>
      <c r="H271" s="273"/>
      <c r="I271" s="323"/>
      <c r="J271" s="273"/>
      <c r="K271" s="273"/>
      <c r="L271" s="273"/>
      <c r="M271" s="273"/>
      <c r="N271" s="273"/>
      <c r="O271" s="273"/>
      <c r="P271" s="273"/>
      <c r="Q271" s="273"/>
      <c r="R271" s="273"/>
      <c r="S271" s="273"/>
      <c r="T271" s="273"/>
      <c r="U271" s="273"/>
      <c r="V271" s="273"/>
      <c r="X271" s="273"/>
      <c r="Y271" s="273"/>
      <c r="Z271" s="273"/>
      <c r="AA271" s="273"/>
      <c r="AB271" s="273"/>
      <c r="AC271" s="273"/>
      <c r="AE271" s="273"/>
      <c r="AF271" s="273"/>
      <c r="AG271" s="273"/>
      <c r="AH271" s="273"/>
      <c r="AI271" s="273"/>
      <c r="AJ271" s="273"/>
      <c r="AL271" s="273"/>
      <c r="AM271" s="273"/>
      <c r="AN271" s="323"/>
      <c r="AO271" s="461"/>
      <c r="AP271" s="461"/>
      <c r="AQ271" s="461"/>
      <c r="AR271" s="461"/>
      <c r="AS271" s="461"/>
    </row>
    <row r="272" spans="1:45" ht="15" hidden="1" customHeight="1">
      <c r="A272" s="273"/>
      <c r="B272" s="273"/>
      <c r="C272" s="273"/>
      <c r="D272" s="273"/>
      <c r="E272" s="273"/>
      <c r="F272" s="273"/>
      <c r="G272" s="273"/>
      <c r="H272" s="273"/>
      <c r="I272" s="323"/>
      <c r="J272" s="273"/>
      <c r="K272" s="273"/>
      <c r="L272" s="273"/>
      <c r="M272" s="273"/>
      <c r="N272" s="273"/>
      <c r="O272" s="273"/>
      <c r="P272" s="273"/>
      <c r="Q272" s="273"/>
      <c r="R272" s="273"/>
      <c r="S272" s="273"/>
      <c r="T272" s="273"/>
      <c r="U272" s="273"/>
      <c r="V272" s="273"/>
      <c r="X272" s="273"/>
      <c r="Y272" s="273"/>
      <c r="Z272" s="273"/>
      <c r="AA272" s="273"/>
      <c r="AB272" s="273"/>
      <c r="AC272" s="273"/>
      <c r="AE272" s="273"/>
      <c r="AF272" s="273"/>
      <c r="AG272" s="273"/>
      <c r="AH272" s="273"/>
      <c r="AI272" s="273"/>
      <c r="AJ272" s="273"/>
      <c r="AL272" s="273"/>
      <c r="AM272" s="273"/>
      <c r="AN272" s="323"/>
      <c r="AO272" s="461"/>
      <c r="AP272" s="461"/>
      <c r="AQ272" s="461"/>
      <c r="AR272" s="461"/>
      <c r="AS272" s="461"/>
    </row>
    <row r="273" spans="1:45" ht="15" hidden="1" customHeight="1">
      <c r="A273" s="273"/>
      <c r="B273" s="273"/>
      <c r="C273" s="273"/>
      <c r="D273" s="273"/>
      <c r="E273" s="273"/>
      <c r="F273" s="273"/>
      <c r="G273" s="273"/>
      <c r="H273" s="273"/>
      <c r="I273" s="323"/>
      <c r="J273" s="273"/>
      <c r="K273" s="273"/>
      <c r="L273" s="273"/>
      <c r="M273" s="273"/>
      <c r="N273" s="273"/>
      <c r="O273" s="273"/>
      <c r="P273" s="273"/>
      <c r="Q273" s="273"/>
      <c r="R273" s="273"/>
      <c r="S273" s="273"/>
      <c r="T273" s="273"/>
      <c r="U273" s="273"/>
      <c r="V273" s="273"/>
      <c r="X273" s="273"/>
      <c r="Y273" s="273"/>
      <c r="Z273" s="273"/>
      <c r="AA273" s="273"/>
      <c r="AB273" s="273"/>
      <c r="AC273" s="273"/>
      <c r="AE273" s="273"/>
      <c r="AF273" s="273"/>
      <c r="AG273" s="273"/>
      <c r="AH273" s="273"/>
      <c r="AI273" s="273"/>
      <c r="AJ273" s="273"/>
      <c r="AL273" s="273"/>
      <c r="AM273" s="273"/>
      <c r="AN273" s="323"/>
      <c r="AO273" s="461"/>
      <c r="AP273" s="461"/>
      <c r="AQ273" s="461"/>
      <c r="AR273" s="461"/>
      <c r="AS273" s="461"/>
    </row>
    <row r="274" spans="1:45" ht="15" hidden="1" customHeight="1">
      <c r="A274" s="273"/>
      <c r="B274" s="273"/>
      <c r="C274" s="273"/>
      <c r="D274" s="273"/>
      <c r="E274" s="273"/>
      <c r="F274" s="273"/>
      <c r="G274" s="273"/>
      <c r="H274" s="273"/>
      <c r="I274" s="323"/>
      <c r="J274" s="273"/>
      <c r="K274" s="273"/>
      <c r="L274" s="273"/>
      <c r="M274" s="273"/>
      <c r="N274" s="273"/>
      <c r="O274" s="273"/>
      <c r="P274" s="273"/>
      <c r="Q274" s="273"/>
      <c r="R274" s="273"/>
      <c r="S274" s="273"/>
      <c r="T274" s="273"/>
      <c r="U274" s="273"/>
      <c r="V274" s="273"/>
      <c r="X274" s="273"/>
      <c r="Y274" s="273"/>
      <c r="Z274" s="273"/>
      <c r="AA274" s="273"/>
      <c r="AB274" s="273"/>
      <c r="AC274" s="273"/>
      <c r="AE274" s="273"/>
      <c r="AF274" s="273"/>
      <c r="AG274" s="273"/>
      <c r="AH274" s="273"/>
      <c r="AI274" s="273"/>
      <c r="AJ274" s="273"/>
      <c r="AL274" s="273"/>
      <c r="AM274" s="273"/>
      <c r="AN274" s="323"/>
      <c r="AO274" s="461"/>
      <c r="AP274" s="461"/>
      <c r="AQ274" s="461"/>
      <c r="AR274" s="461"/>
      <c r="AS274" s="461"/>
    </row>
    <row r="275" spans="1:45" ht="15" hidden="1" customHeight="1">
      <c r="A275" s="273"/>
      <c r="B275" s="273"/>
      <c r="C275" s="273"/>
      <c r="D275" s="273"/>
      <c r="E275" s="273"/>
      <c r="F275" s="273"/>
      <c r="G275" s="273"/>
      <c r="H275" s="273"/>
      <c r="I275" s="323"/>
      <c r="J275" s="273"/>
      <c r="K275" s="273"/>
      <c r="L275" s="273"/>
      <c r="M275" s="273"/>
      <c r="N275" s="273"/>
      <c r="O275" s="273"/>
      <c r="P275" s="273"/>
      <c r="Q275" s="273"/>
      <c r="R275" s="273"/>
      <c r="S275" s="273"/>
      <c r="T275" s="273"/>
      <c r="U275" s="273"/>
      <c r="V275" s="273"/>
      <c r="X275" s="273"/>
      <c r="Y275" s="273"/>
      <c r="Z275" s="273"/>
      <c r="AA275" s="273"/>
      <c r="AB275" s="273"/>
      <c r="AC275" s="273"/>
      <c r="AE275" s="273"/>
      <c r="AF275" s="273"/>
      <c r="AG275" s="273"/>
      <c r="AH275" s="273"/>
      <c r="AI275" s="273"/>
      <c r="AJ275" s="273"/>
      <c r="AL275" s="273"/>
      <c r="AM275" s="273"/>
      <c r="AN275" s="323"/>
      <c r="AO275" s="461"/>
      <c r="AP275" s="461"/>
      <c r="AQ275" s="461"/>
      <c r="AR275" s="461"/>
      <c r="AS275" s="461"/>
    </row>
    <row r="276" spans="1:45" ht="15" hidden="1" customHeight="1">
      <c r="A276" s="273"/>
      <c r="B276" s="273"/>
      <c r="C276" s="273"/>
      <c r="D276" s="273"/>
      <c r="E276" s="273"/>
      <c r="F276" s="273"/>
      <c r="G276" s="273"/>
      <c r="H276" s="273"/>
      <c r="I276" s="323"/>
      <c r="J276" s="273"/>
      <c r="K276" s="273"/>
      <c r="L276" s="273"/>
      <c r="M276" s="273"/>
      <c r="N276" s="273"/>
      <c r="O276" s="273"/>
      <c r="P276" s="273"/>
      <c r="Q276" s="273"/>
      <c r="R276" s="273"/>
      <c r="S276" s="273"/>
      <c r="T276" s="273"/>
      <c r="U276" s="273"/>
      <c r="V276" s="273"/>
      <c r="X276" s="273"/>
      <c r="Y276" s="273"/>
      <c r="Z276" s="273"/>
      <c r="AA276" s="273"/>
      <c r="AB276" s="273"/>
      <c r="AC276" s="273"/>
      <c r="AE276" s="273"/>
      <c r="AF276" s="273"/>
      <c r="AG276" s="273"/>
      <c r="AH276" s="273"/>
      <c r="AI276" s="273"/>
      <c r="AJ276" s="273"/>
      <c r="AL276" s="273"/>
      <c r="AM276" s="273"/>
      <c r="AN276" s="323"/>
      <c r="AO276" s="461"/>
      <c r="AP276" s="461"/>
      <c r="AQ276" s="461"/>
      <c r="AR276" s="461"/>
      <c r="AS276" s="461"/>
    </row>
    <row r="277" spans="1:45" ht="15" hidden="1" customHeight="1">
      <c r="A277" s="273"/>
      <c r="B277" s="273"/>
      <c r="C277" s="273"/>
      <c r="D277" s="273"/>
      <c r="E277" s="273"/>
      <c r="F277" s="273"/>
      <c r="G277" s="273"/>
      <c r="H277" s="273"/>
      <c r="I277" s="323"/>
      <c r="J277" s="273"/>
      <c r="K277" s="273"/>
      <c r="L277" s="273"/>
      <c r="M277" s="273"/>
      <c r="N277" s="273"/>
      <c r="O277" s="273"/>
      <c r="P277" s="273"/>
      <c r="Q277" s="273"/>
      <c r="R277" s="273"/>
      <c r="S277" s="273"/>
      <c r="T277" s="273"/>
      <c r="U277" s="273"/>
      <c r="V277" s="273"/>
      <c r="X277" s="273"/>
      <c r="Y277" s="273"/>
      <c r="Z277" s="273"/>
      <c r="AA277" s="273"/>
      <c r="AB277" s="273"/>
      <c r="AC277" s="273"/>
      <c r="AE277" s="273"/>
      <c r="AF277" s="273"/>
      <c r="AG277" s="273"/>
      <c r="AH277" s="273"/>
      <c r="AI277" s="273"/>
      <c r="AJ277" s="273"/>
      <c r="AL277" s="273"/>
      <c r="AM277" s="273"/>
      <c r="AN277" s="323"/>
      <c r="AO277" s="461"/>
      <c r="AP277" s="461"/>
      <c r="AQ277" s="461"/>
      <c r="AR277" s="461"/>
      <c r="AS277" s="461"/>
    </row>
    <row r="278" spans="1:45" ht="15" hidden="1" customHeight="1">
      <c r="A278" s="273"/>
      <c r="B278" s="273"/>
      <c r="C278" s="273"/>
      <c r="D278" s="273"/>
      <c r="E278" s="273"/>
      <c r="F278" s="273"/>
      <c r="G278" s="273"/>
      <c r="H278" s="273"/>
      <c r="I278" s="323"/>
      <c r="J278" s="273"/>
      <c r="K278" s="273"/>
      <c r="L278" s="273"/>
      <c r="M278" s="273"/>
      <c r="N278" s="273"/>
      <c r="O278" s="273"/>
      <c r="P278" s="273"/>
      <c r="Q278" s="273"/>
      <c r="R278" s="273"/>
      <c r="S278" s="273"/>
      <c r="T278" s="273"/>
      <c r="U278" s="273"/>
      <c r="V278" s="273"/>
      <c r="X278" s="273"/>
      <c r="Y278" s="273"/>
      <c r="Z278" s="273"/>
      <c r="AA278" s="273"/>
      <c r="AB278" s="273"/>
      <c r="AC278" s="273"/>
      <c r="AE278" s="273"/>
      <c r="AF278" s="273"/>
      <c r="AG278" s="273"/>
      <c r="AH278" s="273"/>
      <c r="AI278" s="273"/>
      <c r="AJ278" s="273"/>
      <c r="AL278" s="273"/>
      <c r="AM278" s="273"/>
      <c r="AN278" s="323"/>
      <c r="AO278" s="461"/>
      <c r="AP278" s="461"/>
      <c r="AQ278" s="461"/>
      <c r="AR278" s="461"/>
      <c r="AS278" s="461"/>
    </row>
    <row r="279" spans="1:45" ht="15" hidden="1" customHeight="1">
      <c r="A279" s="273"/>
      <c r="B279" s="273"/>
      <c r="C279" s="273"/>
      <c r="D279" s="273"/>
      <c r="E279" s="273"/>
      <c r="F279" s="273"/>
      <c r="G279" s="273"/>
      <c r="H279" s="273"/>
      <c r="I279" s="323"/>
      <c r="J279" s="273"/>
      <c r="K279" s="273"/>
      <c r="L279" s="273"/>
      <c r="M279" s="273"/>
      <c r="N279" s="273"/>
      <c r="O279" s="273"/>
      <c r="P279" s="273"/>
      <c r="Q279" s="273"/>
      <c r="R279" s="273"/>
      <c r="S279" s="273"/>
      <c r="T279" s="273"/>
      <c r="U279" s="273"/>
      <c r="V279" s="273"/>
      <c r="X279" s="273"/>
      <c r="Y279" s="273"/>
      <c r="Z279" s="273"/>
      <c r="AA279" s="273"/>
      <c r="AB279" s="273"/>
      <c r="AC279" s="273"/>
      <c r="AE279" s="273"/>
      <c r="AF279" s="273"/>
      <c r="AG279" s="273"/>
      <c r="AH279" s="273"/>
      <c r="AI279" s="273"/>
      <c r="AJ279" s="273"/>
      <c r="AL279" s="273"/>
      <c r="AM279" s="273"/>
      <c r="AN279" s="323"/>
      <c r="AO279" s="461"/>
      <c r="AP279" s="461"/>
      <c r="AQ279" s="461"/>
      <c r="AR279" s="461"/>
      <c r="AS279" s="461"/>
    </row>
    <row r="280" spans="1:45" ht="15" hidden="1" customHeight="1">
      <c r="A280" s="273"/>
      <c r="B280" s="273"/>
      <c r="C280" s="273"/>
      <c r="D280" s="273"/>
      <c r="E280" s="273"/>
      <c r="F280" s="273"/>
      <c r="G280" s="273"/>
      <c r="H280" s="273"/>
      <c r="I280" s="323"/>
      <c r="J280" s="273"/>
      <c r="K280" s="273"/>
      <c r="L280" s="273"/>
      <c r="M280" s="273"/>
      <c r="N280" s="273"/>
      <c r="O280" s="273"/>
      <c r="P280" s="273"/>
      <c r="Q280" s="273"/>
      <c r="R280" s="273"/>
      <c r="S280" s="273"/>
      <c r="T280" s="273"/>
      <c r="U280" s="273"/>
      <c r="V280" s="273"/>
      <c r="X280" s="273"/>
      <c r="Y280" s="273"/>
      <c r="Z280" s="273"/>
      <c r="AA280" s="273"/>
      <c r="AB280" s="273"/>
      <c r="AC280" s="273"/>
      <c r="AE280" s="273"/>
      <c r="AF280" s="273"/>
      <c r="AG280" s="273"/>
      <c r="AH280" s="273"/>
      <c r="AI280" s="273"/>
      <c r="AJ280" s="273"/>
      <c r="AL280" s="273"/>
      <c r="AM280" s="273"/>
      <c r="AN280" s="323"/>
      <c r="AO280" s="461"/>
      <c r="AP280" s="461"/>
      <c r="AQ280" s="461"/>
      <c r="AR280" s="461"/>
      <c r="AS280" s="461"/>
    </row>
    <row r="281" spans="1:45" ht="15" hidden="1" customHeight="1">
      <c r="A281" s="273"/>
      <c r="B281" s="273"/>
      <c r="C281" s="273"/>
      <c r="D281" s="273"/>
      <c r="E281" s="273"/>
      <c r="F281" s="273"/>
      <c r="G281" s="273"/>
      <c r="H281" s="273"/>
      <c r="I281" s="323"/>
      <c r="J281" s="273"/>
      <c r="K281" s="273"/>
      <c r="L281" s="273"/>
      <c r="M281" s="273"/>
      <c r="N281" s="273"/>
      <c r="O281" s="273"/>
      <c r="P281" s="273"/>
      <c r="Q281" s="273"/>
      <c r="R281" s="273"/>
      <c r="S281" s="273"/>
      <c r="T281" s="273"/>
      <c r="U281" s="273"/>
      <c r="V281" s="273"/>
      <c r="X281" s="273"/>
      <c r="Y281" s="273"/>
      <c r="Z281" s="273"/>
      <c r="AA281" s="273"/>
      <c r="AB281" s="273"/>
      <c r="AC281" s="273"/>
      <c r="AE281" s="273"/>
      <c r="AF281" s="273"/>
      <c r="AG281" s="273"/>
      <c r="AH281" s="273"/>
      <c r="AI281" s="273"/>
      <c r="AJ281" s="273"/>
      <c r="AL281" s="273"/>
      <c r="AM281" s="273"/>
      <c r="AN281" s="323"/>
      <c r="AO281" s="461"/>
      <c r="AP281" s="461"/>
      <c r="AQ281" s="461"/>
      <c r="AR281" s="461"/>
      <c r="AS281" s="461"/>
    </row>
    <row r="282" spans="1:45" ht="15" hidden="1" customHeight="1">
      <c r="A282" s="273"/>
      <c r="B282" s="273"/>
      <c r="C282" s="273"/>
      <c r="D282" s="273"/>
      <c r="E282" s="273"/>
      <c r="F282" s="273"/>
      <c r="G282" s="273"/>
      <c r="H282" s="273"/>
      <c r="I282" s="323"/>
      <c r="J282" s="273"/>
      <c r="K282" s="273"/>
      <c r="L282" s="273"/>
      <c r="M282" s="273"/>
      <c r="N282" s="273"/>
      <c r="O282" s="273"/>
      <c r="P282" s="273"/>
      <c r="Q282" s="273"/>
      <c r="R282" s="273"/>
      <c r="S282" s="273"/>
      <c r="T282" s="273"/>
      <c r="U282" s="273"/>
      <c r="V282" s="273"/>
      <c r="X282" s="273"/>
      <c r="Y282" s="273"/>
      <c r="Z282" s="273"/>
      <c r="AA282" s="273"/>
      <c r="AB282" s="273"/>
      <c r="AC282" s="273"/>
      <c r="AE282" s="273"/>
      <c r="AF282" s="273"/>
      <c r="AG282" s="273"/>
      <c r="AH282" s="273"/>
      <c r="AI282" s="273"/>
      <c r="AJ282" s="273"/>
      <c r="AL282" s="273"/>
      <c r="AM282" s="273"/>
      <c r="AN282" s="323"/>
      <c r="AO282" s="461"/>
      <c r="AP282" s="461"/>
      <c r="AQ282" s="461"/>
      <c r="AR282" s="461"/>
      <c r="AS282" s="461"/>
    </row>
    <row r="283" spans="1:45" ht="15" hidden="1" customHeight="1">
      <c r="A283" s="273"/>
      <c r="B283" s="273"/>
      <c r="C283" s="273"/>
      <c r="D283" s="273"/>
      <c r="E283" s="273"/>
      <c r="F283" s="273"/>
      <c r="G283" s="273"/>
      <c r="H283" s="273"/>
      <c r="I283" s="323"/>
      <c r="J283" s="273"/>
      <c r="K283" s="273"/>
      <c r="L283" s="273"/>
      <c r="M283" s="273"/>
      <c r="N283" s="273"/>
      <c r="O283" s="273"/>
      <c r="P283" s="273"/>
      <c r="Q283" s="273"/>
      <c r="R283" s="273"/>
      <c r="S283" s="273"/>
      <c r="T283" s="273"/>
      <c r="U283" s="273"/>
      <c r="V283" s="273"/>
      <c r="X283" s="273"/>
      <c r="Y283" s="273"/>
      <c r="Z283" s="273"/>
      <c r="AA283" s="273"/>
      <c r="AB283" s="273"/>
      <c r="AC283" s="273"/>
      <c r="AE283" s="273"/>
      <c r="AF283" s="273"/>
      <c r="AG283" s="273"/>
      <c r="AH283" s="273"/>
      <c r="AI283" s="273"/>
      <c r="AJ283" s="273"/>
      <c r="AL283" s="273"/>
      <c r="AM283" s="273"/>
      <c r="AN283" s="323"/>
      <c r="AO283" s="461"/>
      <c r="AP283" s="461"/>
      <c r="AQ283" s="461"/>
      <c r="AR283" s="461"/>
      <c r="AS283" s="461"/>
    </row>
    <row r="284" spans="1:45" ht="15" hidden="1" customHeight="1">
      <c r="A284" s="273"/>
      <c r="B284" s="273"/>
      <c r="C284" s="273"/>
      <c r="D284" s="273"/>
      <c r="E284" s="273"/>
      <c r="F284" s="273"/>
      <c r="G284" s="273"/>
      <c r="H284" s="273"/>
      <c r="I284" s="323"/>
      <c r="J284" s="273"/>
      <c r="K284" s="273"/>
      <c r="L284" s="273"/>
      <c r="M284" s="273"/>
      <c r="N284" s="273"/>
      <c r="O284" s="273"/>
      <c r="P284" s="273"/>
      <c r="Q284" s="273"/>
      <c r="R284" s="273"/>
      <c r="S284" s="273"/>
      <c r="T284" s="273"/>
      <c r="U284" s="273"/>
      <c r="V284" s="273"/>
      <c r="X284" s="273"/>
      <c r="Y284" s="273"/>
      <c r="Z284" s="273"/>
      <c r="AA284" s="273"/>
      <c r="AB284" s="273"/>
      <c r="AC284" s="273"/>
      <c r="AE284" s="273"/>
      <c r="AF284" s="273"/>
      <c r="AG284" s="273"/>
      <c r="AH284" s="273"/>
      <c r="AI284" s="273"/>
      <c r="AJ284" s="273"/>
      <c r="AL284" s="273"/>
      <c r="AM284" s="273"/>
      <c r="AN284" s="323"/>
      <c r="AO284" s="461"/>
      <c r="AP284" s="461"/>
      <c r="AQ284" s="461"/>
      <c r="AR284" s="461"/>
      <c r="AS284" s="461"/>
    </row>
    <row r="285" spans="1:45" ht="15" hidden="1" customHeight="1">
      <c r="A285" s="273"/>
      <c r="B285" s="273"/>
      <c r="C285" s="273"/>
      <c r="D285" s="273"/>
      <c r="E285" s="273"/>
      <c r="F285" s="273"/>
      <c r="G285" s="273"/>
      <c r="H285" s="273"/>
      <c r="I285" s="323"/>
      <c r="J285" s="273"/>
      <c r="K285" s="273"/>
      <c r="L285" s="273"/>
      <c r="M285" s="273"/>
      <c r="N285" s="273"/>
      <c r="O285" s="273"/>
      <c r="P285" s="273"/>
      <c r="Q285" s="273"/>
      <c r="R285" s="273"/>
      <c r="S285" s="273"/>
      <c r="T285" s="273"/>
      <c r="U285" s="273"/>
      <c r="V285" s="273"/>
      <c r="X285" s="273"/>
      <c r="Y285" s="273"/>
      <c r="Z285" s="273"/>
      <c r="AA285" s="273"/>
      <c r="AB285" s="273"/>
      <c r="AC285" s="273"/>
      <c r="AE285" s="273"/>
      <c r="AF285" s="273"/>
      <c r="AG285" s="273"/>
      <c r="AH285" s="273"/>
      <c r="AI285" s="273"/>
      <c r="AJ285" s="273"/>
      <c r="AL285" s="273"/>
      <c r="AM285" s="273"/>
      <c r="AN285" s="323"/>
      <c r="AO285" s="461"/>
      <c r="AP285" s="461"/>
      <c r="AQ285" s="461"/>
      <c r="AR285" s="461"/>
      <c r="AS285" s="461"/>
    </row>
    <row r="286" spans="1:45" ht="15" hidden="1" customHeight="1">
      <c r="A286" s="273"/>
      <c r="B286" s="273"/>
      <c r="C286" s="273"/>
      <c r="D286" s="273"/>
      <c r="E286" s="273"/>
      <c r="F286" s="273"/>
      <c r="G286" s="273"/>
      <c r="H286" s="273"/>
      <c r="I286" s="323"/>
      <c r="J286" s="273"/>
      <c r="K286" s="273"/>
      <c r="L286" s="273"/>
      <c r="M286" s="273"/>
      <c r="N286" s="273"/>
      <c r="O286" s="273"/>
      <c r="P286" s="273"/>
      <c r="Q286" s="273"/>
      <c r="R286" s="273"/>
      <c r="S286" s="273"/>
      <c r="T286" s="273"/>
      <c r="U286" s="273"/>
      <c r="V286" s="273"/>
      <c r="X286" s="273"/>
      <c r="Y286" s="273"/>
      <c r="Z286" s="273"/>
      <c r="AA286" s="273"/>
      <c r="AB286" s="273"/>
      <c r="AC286" s="273"/>
      <c r="AE286" s="273"/>
      <c r="AF286" s="273"/>
      <c r="AG286" s="273"/>
      <c r="AH286" s="273"/>
      <c r="AI286" s="273"/>
      <c r="AJ286" s="273"/>
      <c r="AL286" s="273"/>
      <c r="AM286" s="273"/>
      <c r="AN286" s="323"/>
      <c r="AO286" s="461"/>
      <c r="AP286" s="461"/>
      <c r="AQ286" s="461"/>
      <c r="AR286" s="461"/>
      <c r="AS286" s="461"/>
    </row>
    <row r="287" spans="1:45" ht="15" hidden="1" customHeight="1">
      <c r="A287" s="273"/>
      <c r="B287" s="273"/>
      <c r="C287" s="273"/>
      <c r="D287" s="273"/>
      <c r="E287" s="273"/>
      <c r="F287" s="273"/>
      <c r="G287" s="273"/>
      <c r="H287" s="273"/>
      <c r="I287" s="323"/>
      <c r="J287" s="273"/>
      <c r="K287" s="273"/>
      <c r="L287" s="273"/>
      <c r="M287" s="273"/>
      <c r="N287" s="273"/>
      <c r="O287" s="273"/>
      <c r="P287" s="273"/>
      <c r="Q287" s="273"/>
      <c r="R287" s="273"/>
      <c r="S287" s="273"/>
      <c r="T287" s="273"/>
      <c r="U287" s="273"/>
      <c r="V287" s="273"/>
      <c r="X287" s="273"/>
      <c r="Y287" s="273"/>
      <c r="Z287" s="273"/>
      <c r="AA287" s="273"/>
      <c r="AB287" s="273"/>
      <c r="AC287" s="273"/>
      <c r="AE287" s="273"/>
      <c r="AF287" s="273"/>
      <c r="AG287" s="273"/>
      <c r="AH287" s="273"/>
      <c r="AI287" s="273"/>
      <c r="AJ287" s="273"/>
      <c r="AL287" s="273"/>
      <c r="AM287" s="273"/>
      <c r="AN287" s="323"/>
      <c r="AO287" s="461"/>
      <c r="AP287" s="461"/>
      <c r="AQ287" s="461"/>
      <c r="AR287" s="461"/>
      <c r="AS287" s="461"/>
    </row>
    <row r="288" spans="1:45" ht="15" hidden="1" customHeight="1">
      <c r="I288" s="290"/>
    </row>
    <row r="289" spans="9:9" ht="15" hidden="1" customHeight="1">
      <c r="I289" s="290"/>
    </row>
    <row r="290" spans="9:9" ht="15" hidden="1" customHeight="1">
      <c r="I290" s="290"/>
    </row>
    <row r="291" spans="9:9" ht="15" hidden="1" customHeight="1">
      <c r="I291" s="290"/>
    </row>
    <row r="292" spans="9:9" ht="15" hidden="1" customHeight="1">
      <c r="I292" s="290"/>
    </row>
    <row r="293" spans="9:9" ht="15" hidden="1" customHeight="1">
      <c r="I293" s="290"/>
    </row>
    <row r="294" spans="9:9" ht="15" hidden="1" customHeight="1">
      <c r="I294" s="290"/>
    </row>
    <row r="295" spans="9:9" ht="15" hidden="1" customHeight="1">
      <c r="I295" s="290"/>
    </row>
    <row r="296" spans="9:9" ht="15" hidden="1" customHeight="1">
      <c r="I296" s="290"/>
    </row>
    <row r="297" spans="9:9" ht="15" hidden="1" customHeight="1">
      <c r="I297" s="290"/>
    </row>
    <row r="298" spans="9:9" ht="15" hidden="1" customHeight="1">
      <c r="I298" s="290"/>
    </row>
    <row r="299" spans="9:9" ht="15" hidden="1" customHeight="1">
      <c r="I299" s="290"/>
    </row>
    <row r="300" spans="9:9" ht="15" hidden="1" customHeight="1">
      <c r="I300" s="290"/>
    </row>
    <row r="301" spans="9:9" ht="15" hidden="1" customHeight="1">
      <c r="I301" s="290"/>
    </row>
    <row r="302" spans="9:9" ht="15" hidden="1" customHeight="1">
      <c r="I302" s="290"/>
    </row>
    <row r="303" spans="9:9" ht="15" hidden="1" customHeight="1">
      <c r="I303" s="290"/>
    </row>
    <row r="304" spans="9:9" ht="15" hidden="1" customHeight="1">
      <c r="I304" s="290"/>
    </row>
    <row r="305" spans="9:9" ht="15" hidden="1" customHeight="1">
      <c r="I305" s="290"/>
    </row>
    <row r="306" spans="9:9" ht="15" hidden="1" customHeight="1">
      <c r="I306" s="290"/>
    </row>
    <row r="307" spans="9:9" ht="15" hidden="1" customHeight="1">
      <c r="I307" s="290"/>
    </row>
    <row r="308" spans="9:9" ht="15" hidden="1" customHeight="1">
      <c r="I308" s="290"/>
    </row>
    <row r="309" spans="9:9" ht="15" hidden="1" customHeight="1">
      <c r="I309" s="290"/>
    </row>
    <row r="310" spans="9:9" ht="15" hidden="1" customHeight="1">
      <c r="I310" s="290"/>
    </row>
    <row r="311" spans="9:9" ht="15" hidden="1" customHeight="1">
      <c r="I311" s="290"/>
    </row>
    <row r="312" spans="9:9" ht="15" hidden="1" customHeight="1">
      <c r="I312" s="290"/>
    </row>
    <row r="313" spans="9:9" ht="15" hidden="1" customHeight="1">
      <c r="I313" s="290"/>
    </row>
    <row r="314" spans="9:9" ht="15" hidden="1" customHeight="1">
      <c r="I314" s="290"/>
    </row>
    <row r="315" spans="9:9" ht="15" hidden="1" customHeight="1">
      <c r="I315" s="290"/>
    </row>
    <row r="316" spans="9:9" ht="15" hidden="1" customHeight="1"/>
    <row r="317" spans="9:9" ht="15" hidden="1" customHeight="1"/>
    <row r="318" spans="9:9" ht="15" hidden="1" customHeight="1"/>
    <row r="319" spans="9:9" ht="15" hidden="1" customHeight="1"/>
    <row r="320" spans="9:9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spans="1:40" ht="15" hidden="1" customHeight="1"/>
    <row r="338" spans="1:40" ht="15" hidden="1" customHeight="1"/>
    <row r="339" spans="1:40" ht="15" hidden="1" customHeight="1"/>
    <row r="340" spans="1:40" ht="15" hidden="1" customHeight="1"/>
    <row r="341" spans="1:40" ht="15" hidden="1" customHeight="1"/>
    <row r="342" spans="1:40" ht="15" hidden="1" customHeight="1"/>
    <row r="343" spans="1:40" ht="15" hidden="1" customHeight="1"/>
    <row r="344" spans="1:40" ht="15" hidden="1" customHeight="1">
      <c r="A344" s="266"/>
      <c r="B344" s="266"/>
      <c r="C344" s="266"/>
      <c r="D344" s="266"/>
      <c r="E344" s="266"/>
      <c r="F344" s="266"/>
      <c r="G344" s="266"/>
      <c r="H344" s="266"/>
      <c r="I344" s="266"/>
      <c r="J344" s="266"/>
      <c r="K344" s="266"/>
      <c r="L344" s="266"/>
      <c r="M344" s="266"/>
      <c r="N344" s="266"/>
      <c r="O344" s="266"/>
      <c r="P344" s="266"/>
      <c r="Q344" s="266"/>
      <c r="R344" s="266"/>
      <c r="S344" s="266"/>
      <c r="T344" s="266"/>
      <c r="U344" s="266"/>
      <c r="V344" s="266"/>
      <c r="W344" s="266"/>
      <c r="X344" s="266"/>
      <c r="Y344" s="266"/>
      <c r="Z344" s="266"/>
      <c r="AA344" s="266"/>
      <c r="AB344" s="266"/>
      <c r="AC344" s="266"/>
      <c r="AD344" s="266"/>
      <c r="AE344" s="266"/>
      <c r="AF344" s="266"/>
      <c r="AG344" s="266"/>
      <c r="AH344" s="266"/>
      <c r="AI344" s="266"/>
      <c r="AJ344" s="266"/>
      <c r="AK344" s="266"/>
      <c r="AL344" s="266"/>
      <c r="AM344" s="266"/>
      <c r="AN344" s="211"/>
    </row>
    <row r="345" spans="1:40" ht="15" hidden="1" customHeight="1">
      <c r="A345" s="266"/>
      <c r="B345" s="266"/>
      <c r="C345" s="266"/>
      <c r="D345" s="266"/>
      <c r="E345" s="266"/>
      <c r="F345" s="266"/>
      <c r="G345" s="266"/>
      <c r="H345" s="266"/>
      <c r="I345" s="266"/>
      <c r="J345" s="266"/>
      <c r="K345" s="266"/>
      <c r="L345" s="266"/>
      <c r="M345" s="266"/>
      <c r="N345" s="266"/>
      <c r="O345" s="266"/>
      <c r="P345" s="266"/>
      <c r="Q345" s="266"/>
      <c r="R345" s="266"/>
      <c r="S345" s="266"/>
      <c r="T345" s="266"/>
      <c r="U345" s="266"/>
      <c r="V345" s="266"/>
      <c r="W345" s="266"/>
      <c r="X345" s="266"/>
      <c r="Y345" s="266"/>
      <c r="Z345" s="266"/>
      <c r="AA345" s="266"/>
      <c r="AB345" s="266"/>
      <c r="AC345" s="266"/>
      <c r="AD345" s="266"/>
      <c r="AE345" s="266"/>
      <c r="AF345" s="266"/>
      <c r="AG345" s="266"/>
      <c r="AH345" s="266"/>
      <c r="AI345" s="266"/>
      <c r="AJ345" s="266"/>
      <c r="AK345" s="266"/>
      <c r="AL345" s="266"/>
      <c r="AM345" s="266"/>
      <c r="AN345" s="211"/>
    </row>
    <row r="346" spans="1:40" ht="15" hidden="1" customHeight="1"/>
    <row r="347" spans="1:40" ht="15" hidden="1" customHeight="1"/>
    <row r="348" spans="1:40" ht="15" hidden="1" customHeight="1"/>
    <row r="349" spans="1:40" ht="15" hidden="1" customHeight="1"/>
    <row r="350" spans="1:40" ht="15" hidden="1" customHeight="1"/>
    <row r="351" spans="1:40" ht="15" hidden="1" customHeight="1"/>
    <row r="352" spans="1:40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t="15" hidden="1" customHeight="1"/>
    <row r="394" ht="15" hidden="1" customHeight="1"/>
    <row r="395" ht="15" hidden="1" customHeight="1"/>
    <row r="396" ht="15" hidden="1" customHeight="1"/>
    <row r="397" ht="15" hidden="1" customHeight="1"/>
    <row r="398" ht="15" hidden="1" customHeight="1"/>
    <row r="399" ht="15" hidden="1" customHeight="1"/>
    <row r="400" ht="15" hidden="1" customHeight="1"/>
    <row r="401" ht="15" hidden="1" customHeight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</sheetData>
  <sheetProtection formatCells="0" formatColumns="0" formatRows="0"/>
  <mergeCells count="126">
    <mergeCell ref="I82:K82"/>
    <mergeCell ref="F78:L78"/>
    <mergeCell ref="F76:M76"/>
    <mergeCell ref="D72:F72"/>
    <mergeCell ref="G72:AA72"/>
    <mergeCell ref="AI58:AM58"/>
    <mergeCell ref="AI59:AM59"/>
    <mergeCell ref="AI61:AM61"/>
    <mergeCell ref="AI60:AM60"/>
    <mergeCell ref="AI62:AM62"/>
    <mergeCell ref="M71:V71"/>
    <mergeCell ref="AI64:AM64"/>
    <mergeCell ref="D70:U70"/>
    <mergeCell ref="AA70:AN70"/>
    <mergeCell ref="V70:Y70"/>
    <mergeCell ref="T63:V63"/>
    <mergeCell ref="W63:X63"/>
    <mergeCell ref="Y63:AB63"/>
    <mergeCell ref="AI63:AM63"/>
    <mergeCell ref="AI57:AM57"/>
    <mergeCell ref="AI49:AM49"/>
    <mergeCell ref="AI51:AM51"/>
    <mergeCell ref="AI55:AM55"/>
    <mergeCell ref="AI52:AM52"/>
    <mergeCell ref="AI53:AM53"/>
    <mergeCell ref="AI54:AM54"/>
    <mergeCell ref="AI50:AM50"/>
    <mergeCell ref="AI56:AM56"/>
    <mergeCell ref="AI22:AM22"/>
    <mergeCell ref="AC18:AG18"/>
    <mergeCell ref="AI17:AM17"/>
    <mergeCell ref="AI48:AM48"/>
    <mergeCell ref="AI47:AM47"/>
    <mergeCell ref="AC23:AG23"/>
    <mergeCell ref="AI25:AM25"/>
    <mergeCell ref="AI32:AM32"/>
    <mergeCell ref="AI40:AM40"/>
    <mergeCell ref="AI45:AM45"/>
    <mergeCell ref="AI43:AM43"/>
    <mergeCell ref="AI41:AM41"/>
    <mergeCell ref="AI39:AM39"/>
    <mergeCell ref="AI42:AM42"/>
    <mergeCell ref="AI27:AM27"/>
    <mergeCell ref="AI36:AM36"/>
    <mergeCell ref="AI28:AM28"/>
    <mergeCell ref="AC31:AG31"/>
    <mergeCell ref="AI30:AM30"/>
    <mergeCell ref="AI24:AM24"/>
    <mergeCell ref="AI23:AM23"/>
    <mergeCell ref="AC24:AG24"/>
    <mergeCell ref="AC30:AG30"/>
    <mergeCell ref="AC42:AG42"/>
    <mergeCell ref="E22:T22"/>
    <mergeCell ref="W23:AA23"/>
    <mergeCell ref="W22:AA22"/>
    <mergeCell ref="W20:AA20"/>
    <mergeCell ref="W24:AA24"/>
    <mergeCell ref="W15:AA15"/>
    <mergeCell ref="W18:AA18"/>
    <mergeCell ref="W21:AA21"/>
    <mergeCell ref="W17:AA17"/>
    <mergeCell ref="W16:AA16"/>
    <mergeCell ref="W43:AA43"/>
    <mergeCell ref="AC43:AG43"/>
    <mergeCell ref="W42:AA42"/>
    <mergeCell ref="AC41:AG41"/>
    <mergeCell ref="AI26:AM26"/>
    <mergeCell ref="AC25:AG25"/>
    <mergeCell ref="D30:T30"/>
    <mergeCell ref="W30:AA30"/>
    <mergeCell ref="W26:AA26"/>
    <mergeCell ref="W28:AA28"/>
    <mergeCell ref="W32:AA32"/>
    <mergeCell ref="AC32:AG32"/>
    <mergeCell ref="W25:AA25"/>
    <mergeCell ref="AC28:AG28"/>
    <mergeCell ref="AC26:AG26"/>
    <mergeCell ref="AI34:AM34"/>
    <mergeCell ref="AI31:AM31"/>
    <mergeCell ref="W40:AA40"/>
    <mergeCell ref="AC34:AG34"/>
    <mergeCell ref="AC36:AG36"/>
    <mergeCell ref="AC39:AG39"/>
    <mergeCell ref="AC40:AG40"/>
    <mergeCell ref="W39:AA39"/>
    <mergeCell ref="W41:AA41"/>
    <mergeCell ref="AC22:AG22"/>
    <mergeCell ref="W10:AA10"/>
    <mergeCell ref="W11:AA11"/>
    <mergeCell ref="AC11:AG11"/>
    <mergeCell ref="W12:AA12"/>
    <mergeCell ref="AI13:AM13"/>
    <mergeCell ref="AI11:AM11"/>
    <mergeCell ref="AI10:AM10"/>
    <mergeCell ref="AC10:AG10"/>
    <mergeCell ref="AI14:AM14"/>
    <mergeCell ref="W14:AA14"/>
    <mergeCell ref="W13:AA13"/>
    <mergeCell ref="AI20:AM20"/>
    <mergeCell ref="AI18:AM18"/>
    <mergeCell ref="AI15:AM15"/>
    <mergeCell ref="AI12:AM12"/>
    <mergeCell ref="AC13:AG13"/>
    <mergeCell ref="AC12:AG12"/>
    <mergeCell ref="AC14:AG14"/>
    <mergeCell ref="AC21:AG21"/>
    <mergeCell ref="AI21:AM21"/>
    <mergeCell ref="AC20:AG20"/>
    <mergeCell ref="AC16:AG16"/>
    <mergeCell ref="AC15:AG15"/>
    <mergeCell ref="AC17:AG17"/>
    <mergeCell ref="AI16:AM16"/>
    <mergeCell ref="AI5:AM5"/>
    <mergeCell ref="AI8:AM8"/>
    <mergeCell ref="AI6:AM6"/>
    <mergeCell ref="AI9:AM9"/>
    <mergeCell ref="AC9:AG9"/>
    <mergeCell ref="A2:R2"/>
    <mergeCell ref="AC8:AG8"/>
    <mergeCell ref="W5:AA5"/>
    <mergeCell ref="W8:AA8"/>
    <mergeCell ref="AC6:AG6"/>
    <mergeCell ref="W6:AA6"/>
    <mergeCell ref="AC5:AG5"/>
    <mergeCell ref="W9:AA9"/>
    <mergeCell ref="E13:T13"/>
  </mergeCells>
  <phoneticPr fontId="20" type="noConversion"/>
  <dataValidations count="1">
    <dataValidation type="list" showInputMessage="1" showErrorMessage="1" sqref="V70:Y70">
      <formula1>$AQ$68:$AQ$70</formula1>
    </dataValidation>
  </dataValidations>
  <hyperlinks>
    <hyperlink ref="A2:C2" location="MainMenu!A1" display="MainMenu!A1"/>
  </hyperlinks>
  <printOptions horizontalCentered="1"/>
  <pageMargins left="0" right="0" top="0.5" bottom="0.5" header="0.25" footer="0.4"/>
  <pageSetup paperSize="9" scale="77" orientation="portrait" horizontalDpi="1200" verticalDpi="1200" r:id="rId1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11"/>
  </sheetPr>
  <dimension ref="A1:AQ65537"/>
  <sheetViews>
    <sheetView showGridLines="0" showRowColHeaders="0" zoomScaleSheetLayoutView="100" workbookViewId="0">
      <pane xSplit="1" ySplit="2" topLeftCell="B36" activePane="bottomRight" state="frozen"/>
      <selection activeCell="E20" sqref="E20:J20"/>
      <selection pane="topRight" activeCell="E20" sqref="E20:J20"/>
      <selection pane="bottomLeft" activeCell="E20" sqref="E20:J20"/>
      <selection pane="bottomRight" activeCell="B1" sqref="B1:I1"/>
    </sheetView>
  </sheetViews>
  <sheetFormatPr defaultColWidth="0" defaultRowHeight="15" zeroHeight="1"/>
  <cols>
    <col min="1" max="1" width="1.5" style="170" customWidth="1"/>
    <col min="2" max="2" width="0.875" style="170" customWidth="1"/>
    <col min="3" max="3" width="4.5" style="170" customWidth="1"/>
    <col min="4" max="4" width="5.25" style="170" customWidth="1"/>
    <col min="5" max="8" width="4.125" style="170" customWidth="1"/>
    <col min="9" max="9" width="3.625" style="170" customWidth="1"/>
    <col min="10" max="11" width="4.125" style="170" customWidth="1"/>
    <col min="12" max="12" width="3.5" style="170" customWidth="1"/>
    <col min="13" max="13" width="2.25" style="170" customWidth="1"/>
    <col min="14" max="16" width="4.75" style="170" customWidth="1"/>
    <col min="17" max="17" width="7.375" style="170" customWidth="1"/>
    <col min="18" max="19" width="5.25" style="170" customWidth="1"/>
    <col min="20" max="21" width="4.5" style="170" customWidth="1"/>
    <col min="22" max="24" width="4.25" style="170" customWidth="1"/>
    <col min="25" max="25" width="4.125" style="170" bestFit="1" customWidth="1"/>
    <col min="26" max="26" width="13.625" style="170" hidden="1" customWidth="1"/>
    <col min="27" max="28" width="6.125" style="174" hidden="1" customWidth="1"/>
    <col min="29" max="29" width="18.375" style="174" hidden="1" customWidth="1"/>
    <col min="30" max="30" width="27" style="174" hidden="1" customWidth="1"/>
    <col min="31" max="31" width="7.25" style="174" hidden="1" customWidth="1"/>
    <col min="32" max="32" width="35" style="174" hidden="1" customWidth="1"/>
    <col min="33" max="33" width="17.875" style="174" hidden="1" customWidth="1"/>
    <col min="34" max="34" width="5.125" style="174" hidden="1" customWidth="1"/>
    <col min="35" max="42" width="3.875" style="174" hidden="1" customWidth="1"/>
    <col min="43" max="43" width="5.25" style="174" hidden="1" customWidth="1"/>
    <col min="44" max="16384" width="0" style="174" hidden="1"/>
  </cols>
  <sheetData>
    <row r="1" spans="1:34" s="2" customFormat="1" ht="30.75" customHeight="1" thickBot="1">
      <c r="A1" s="26" t="s">
        <v>73</v>
      </c>
      <c r="B1" s="1586" t="s">
        <v>90</v>
      </c>
      <c r="C1" s="1586"/>
      <c r="D1" s="1586"/>
      <c r="E1" s="1586"/>
      <c r="F1" s="1586"/>
      <c r="G1" s="1586"/>
      <c r="H1" s="1586"/>
      <c r="I1" s="1586"/>
      <c r="J1" s="73"/>
      <c r="K1" s="1587" t="s">
        <v>12</v>
      </c>
      <c r="L1" s="1587"/>
      <c r="M1" s="1587"/>
      <c r="N1" s="1587"/>
      <c r="O1" s="1587"/>
      <c r="P1" s="1587"/>
      <c r="Q1" s="1587"/>
      <c r="R1" s="1587"/>
      <c r="S1" s="1587"/>
      <c r="T1" s="1587"/>
      <c r="U1" s="1587"/>
      <c r="V1" s="1587"/>
      <c r="W1" s="1587"/>
      <c r="X1" s="1587"/>
      <c r="Y1" s="972"/>
      <c r="Z1" s="237"/>
    </row>
    <row r="2" spans="1:34" s="2" customFormat="1" ht="18.75" customHeight="1" thickTop="1" thickBot="1">
      <c r="A2" s="26" t="s">
        <v>73</v>
      </c>
      <c r="B2" s="139"/>
      <c r="C2" s="140" t="s">
        <v>474</v>
      </c>
      <c r="D2" s="131"/>
      <c r="E2" s="131"/>
      <c r="F2" s="131"/>
      <c r="G2" s="131"/>
      <c r="H2" s="131"/>
      <c r="I2" s="131"/>
      <c r="J2" s="130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3"/>
      <c r="Y2" s="972"/>
      <c r="Z2" s="237"/>
    </row>
    <row r="3" spans="1:34" ht="21.75" customHeight="1" thickTop="1">
      <c r="B3" s="171"/>
      <c r="C3" s="172" t="str">
        <f>'Master Deails'!A23</f>
        <v>DANGS DISTRICT PANCHAYAT AHWA</v>
      </c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111"/>
      <c r="Z3" s="171"/>
      <c r="AA3" s="997"/>
      <c r="AB3" s="997"/>
      <c r="AC3" s="997"/>
      <c r="AD3" s="997"/>
      <c r="AE3" s="997"/>
      <c r="AF3" s="997"/>
      <c r="AG3" s="997"/>
      <c r="AH3" s="997"/>
    </row>
    <row r="4" spans="1:34" ht="15.75">
      <c r="C4" s="175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6" t="s">
        <v>30</v>
      </c>
      <c r="U4" s="1589">
        <f>'Master Deails'!C2</f>
        <v>44256</v>
      </c>
      <c r="V4" s="1589"/>
      <c r="W4" s="1588">
        <f>'Master Deails'!E2</f>
        <v>44562</v>
      </c>
      <c r="X4" s="1588"/>
      <c r="Y4" s="1111"/>
      <c r="Z4" s="171"/>
      <c r="AA4" s="997"/>
      <c r="AB4" s="997"/>
      <c r="AC4" s="997"/>
      <c r="AD4" s="997"/>
      <c r="AE4" s="997"/>
      <c r="AF4" s="997"/>
      <c r="AG4" s="997"/>
      <c r="AH4" s="997"/>
    </row>
    <row r="5" spans="1:34" ht="15.75">
      <c r="C5" s="175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6" t="s">
        <v>31</v>
      </c>
      <c r="O5" s="1589">
        <f>'Master Deails'!G2</f>
        <v>44562</v>
      </c>
      <c r="P5" s="1590"/>
      <c r="Q5" s="1588">
        <f>'Master Deails'!H2</f>
        <v>45119</v>
      </c>
      <c r="R5" s="1588"/>
      <c r="S5" s="173"/>
      <c r="T5" s="173"/>
      <c r="U5" s="173"/>
      <c r="V5" s="173"/>
      <c r="W5" s="173"/>
      <c r="X5" s="173"/>
      <c r="Y5" s="1111"/>
      <c r="Z5" s="171"/>
      <c r="AA5" s="997"/>
      <c r="AB5" s="997"/>
      <c r="AC5" s="997"/>
      <c r="AD5" s="997"/>
      <c r="AE5" s="997"/>
      <c r="AF5" s="997"/>
      <c r="AG5" s="997"/>
      <c r="AH5" s="997"/>
    </row>
    <row r="6" spans="1:34" ht="2.25" customHeight="1">
      <c r="Y6" s="1111"/>
      <c r="Z6" s="171"/>
      <c r="AA6" s="997"/>
      <c r="AB6" s="997"/>
      <c r="AC6" s="997"/>
      <c r="AD6" s="997"/>
      <c r="AE6" s="997"/>
      <c r="AF6" s="997"/>
      <c r="AG6" s="997"/>
      <c r="AH6" s="997"/>
    </row>
    <row r="7" spans="1:34" ht="17.25" customHeight="1">
      <c r="C7" s="1591" t="s">
        <v>56</v>
      </c>
      <c r="D7" s="1592"/>
      <c r="E7" s="1592"/>
      <c r="F7" s="1593"/>
      <c r="G7" s="1604" t="str">
        <f>'Master Deails'!A8</f>
        <v>KIRITCHANDRA JAYANTILAL PATEL</v>
      </c>
      <c r="H7" s="1605"/>
      <c r="I7" s="1605"/>
      <c r="J7" s="1605"/>
      <c r="K7" s="1605"/>
      <c r="L7" s="1605"/>
      <c r="M7" s="1605"/>
      <c r="N7" s="1605"/>
      <c r="O7" s="1605"/>
      <c r="P7" s="1605"/>
      <c r="Q7" s="1605"/>
      <c r="R7" s="1605"/>
      <c r="S7" s="1605"/>
      <c r="T7" s="1605"/>
      <c r="U7" s="1605"/>
      <c r="V7" s="1605"/>
      <c r="W7" s="1605"/>
      <c r="X7" s="1606"/>
      <c r="Y7" s="1111"/>
      <c r="Z7" s="171"/>
      <c r="AA7" s="997"/>
      <c r="AB7" s="997"/>
      <c r="AC7" s="997"/>
      <c r="AD7" s="997"/>
      <c r="AE7" s="997"/>
      <c r="AF7" s="997"/>
      <c r="AG7" s="997"/>
      <c r="AH7" s="997"/>
    </row>
    <row r="8" spans="1:34" ht="17.25" customHeight="1">
      <c r="C8" s="1591" t="s">
        <v>93</v>
      </c>
      <c r="D8" s="1592"/>
      <c r="E8" s="1592"/>
      <c r="F8" s="1593"/>
      <c r="G8" s="1604" t="str">
        <f>'Master Deails'!A18</f>
        <v>RETIRED PS 2 DDO DANGS</v>
      </c>
      <c r="H8" s="1605"/>
      <c r="I8" s="1605"/>
      <c r="J8" s="1605"/>
      <c r="K8" s="1605"/>
      <c r="L8" s="1605"/>
      <c r="M8" s="1605"/>
      <c r="N8" s="1605"/>
      <c r="O8" s="1605"/>
      <c r="P8" s="1605"/>
      <c r="Q8" s="1605"/>
      <c r="R8" s="1605"/>
      <c r="S8" s="1605"/>
      <c r="T8" s="1605"/>
      <c r="U8" s="1605"/>
      <c r="V8" s="1605"/>
      <c r="W8" s="1605"/>
      <c r="X8" s="1606"/>
      <c r="Y8" s="1111"/>
      <c r="Z8" s="171"/>
      <c r="AA8" s="997"/>
      <c r="AB8" s="997"/>
      <c r="AC8" s="997"/>
      <c r="AD8" s="997"/>
      <c r="AE8" s="997"/>
      <c r="AF8" s="997"/>
      <c r="AG8" s="997"/>
      <c r="AH8" s="997"/>
    </row>
    <row r="9" spans="1:34" ht="21" customHeight="1">
      <c r="C9" s="1607" t="s">
        <v>13</v>
      </c>
      <c r="D9" s="1608"/>
      <c r="E9" s="1608"/>
      <c r="F9" s="1608"/>
      <c r="G9" s="1609"/>
      <c r="H9" s="1598" t="str">
        <f>CONCATENATE('Master Deails'!H10,'Master Deails'!L2,'Master Deails'!H11,'Master Deails'!L2,'Master Deails'!H12,'Master Deails'!L2,'Master Deails'!H13,'Master Deails'!L2,'Master Deails'!H14,'Master Deails'!L2,'Master Deails'!H15)</f>
        <v>8/111,Various Colony,Near SBI Staff Qtrs,Sunset Point Road,Ahwa Dist. Dangs,GUJARAT</v>
      </c>
      <c r="I9" s="1599"/>
      <c r="J9" s="1599"/>
      <c r="K9" s="1599"/>
      <c r="L9" s="1599"/>
      <c r="M9" s="1599"/>
      <c r="N9" s="1599"/>
      <c r="O9" s="1599"/>
      <c r="P9" s="1599"/>
      <c r="Q9" s="1599"/>
      <c r="R9" s="1599"/>
      <c r="S9" s="1599"/>
      <c r="T9" s="1599"/>
      <c r="U9" s="1599"/>
      <c r="V9" s="1599"/>
      <c r="W9" s="1599"/>
      <c r="X9" s="1600"/>
      <c r="Y9" s="1111"/>
      <c r="Z9" s="171"/>
      <c r="AA9" s="997"/>
      <c r="AB9" s="997"/>
      <c r="AC9" s="997"/>
      <c r="AD9" s="997"/>
      <c r="AE9" s="997"/>
      <c r="AF9" s="997"/>
      <c r="AG9" s="997"/>
      <c r="AH9" s="997"/>
    </row>
    <row r="10" spans="1:34" ht="21" customHeight="1">
      <c r="C10" s="1610"/>
      <c r="D10" s="1611"/>
      <c r="E10" s="1611"/>
      <c r="F10" s="1611"/>
      <c r="G10" s="1612"/>
      <c r="H10" s="1601"/>
      <c r="I10" s="1602"/>
      <c r="J10" s="1602"/>
      <c r="K10" s="1602"/>
      <c r="L10" s="1602"/>
      <c r="M10" s="1602"/>
      <c r="N10" s="1602"/>
      <c r="O10" s="1602"/>
      <c r="P10" s="1602"/>
      <c r="Q10" s="1602"/>
      <c r="R10" s="1602"/>
      <c r="S10" s="1602"/>
      <c r="T10" s="1602"/>
      <c r="U10" s="1602"/>
      <c r="V10" s="1602"/>
      <c r="W10" s="1602"/>
      <c r="X10" s="1603"/>
      <c r="Y10" s="1111"/>
      <c r="Z10" s="171"/>
      <c r="AA10" s="997"/>
      <c r="AB10" s="997"/>
      <c r="AC10" s="997"/>
      <c r="AD10" s="997"/>
      <c r="AE10" s="997"/>
      <c r="AF10" s="997"/>
      <c r="AG10" s="997"/>
      <c r="AH10" s="997"/>
    </row>
    <row r="11" spans="1:34" ht="15.75">
      <c r="C11" s="179" t="s">
        <v>114</v>
      </c>
      <c r="D11" s="179"/>
      <c r="E11" s="1596" t="str">
        <f>'Master Deails'!B19</f>
        <v>ACFPP3047F</v>
      </c>
      <c r="F11" s="1597"/>
      <c r="G11" s="1597"/>
      <c r="H11" s="1597"/>
      <c r="I11" s="1597"/>
      <c r="J11" s="1597"/>
      <c r="K11" s="1597"/>
      <c r="L11" s="1597"/>
      <c r="M11" s="1597"/>
      <c r="N11" s="1597"/>
      <c r="O11" s="1597"/>
      <c r="P11" s="1597"/>
      <c r="Q11" s="1597"/>
      <c r="R11" s="1597"/>
      <c r="S11" s="180" t="s">
        <v>115</v>
      </c>
      <c r="T11" s="181"/>
      <c r="U11" s="1594" t="s">
        <v>158</v>
      </c>
      <c r="V11" s="1594"/>
      <c r="W11" s="1594"/>
      <c r="X11" s="1595"/>
      <c r="Y11" s="1111"/>
      <c r="Z11" s="171"/>
      <c r="AA11" s="997"/>
      <c r="AB11" s="997"/>
      <c r="AC11" s="997"/>
      <c r="AD11" s="997"/>
      <c r="AE11" s="997"/>
      <c r="AF11" s="997"/>
      <c r="AG11" s="997"/>
      <c r="AH11" s="997"/>
    </row>
    <row r="12" spans="1:34" ht="15.75">
      <c r="C12" s="182" t="s">
        <v>116</v>
      </c>
      <c r="D12" s="183" t="s">
        <v>117</v>
      </c>
      <c r="E12" s="184"/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5" t="s">
        <v>69</v>
      </c>
      <c r="W12" s="185"/>
      <c r="X12" s="186"/>
      <c r="Y12" s="1111"/>
      <c r="Z12" s="171"/>
      <c r="AA12" s="997"/>
      <c r="AB12" s="997"/>
      <c r="AC12" s="997"/>
      <c r="AD12" s="997"/>
      <c r="AE12" s="997"/>
      <c r="AF12" s="997"/>
      <c r="AG12" s="997"/>
      <c r="AH12" s="997"/>
    </row>
    <row r="13" spans="1:34">
      <c r="C13" s="187">
        <v>1</v>
      </c>
      <c r="D13" s="1720" t="s">
        <v>118</v>
      </c>
      <c r="E13" s="1592"/>
      <c r="F13" s="1592"/>
      <c r="G13" s="1592"/>
      <c r="H13" s="1592"/>
      <c r="I13" s="1592"/>
      <c r="J13" s="1592"/>
      <c r="K13" s="1592"/>
      <c r="L13" s="1592"/>
      <c r="M13" s="1592"/>
      <c r="N13" s="1592"/>
      <c r="O13" s="1592"/>
      <c r="P13" s="1592"/>
      <c r="Q13" s="1592"/>
      <c r="R13" s="1592"/>
      <c r="S13" s="1592"/>
      <c r="T13" s="1592"/>
      <c r="U13" s="1592"/>
      <c r="V13" s="1592"/>
      <c r="W13" s="1592"/>
      <c r="X13" s="1593"/>
      <c r="Y13" s="1111"/>
      <c r="Z13" s="171"/>
      <c r="AA13" s="997"/>
      <c r="AB13" s="997"/>
      <c r="AC13" s="997"/>
      <c r="AD13" s="997"/>
      <c r="AE13" s="997"/>
      <c r="AF13" s="997"/>
      <c r="AG13" s="997"/>
      <c r="AH13" s="997"/>
    </row>
    <row r="14" spans="1:34" ht="33.75" customHeight="1">
      <c r="C14" s="188"/>
      <c r="D14" s="1101" t="s">
        <v>58</v>
      </c>
      <c r="E14" s="1990" t="s">
        <v>14</v>
      </c>
      <c r="F14" s="1692"/>
      <c r="G14" s="1692"/>
      <c r="H14" s="1692"/>
      <c r="I14" s="1692"/>
      <c r="J14" s="1692"/>
      <c r="K14" s="1692"/>
      <c r="L14" s="1692"/>
      <c r="M14" s="1692"/>
      <c r="N14" s="1692"/>
      <c r="O14" s="1692"/>
      <c r="P14" s="1692"/>
      <c r="Q14" s="1692"/>
      <c r="R14" s="1692"/>
      <c r="S14" s="1987">
        <f>('Earning- Salary'!N26+'Other than Salary Income'!U38+'Other than Salary Income'!U39+'Other than Salary Income'!U43+'Other than Salary Income'!U41) -('Earning- Salary'!N46)</f>
        <v>905042</v>
      </c>
      <c r="T14" s="1988"/>
      <c r="U14" s="1989"/>
      <c r="V14" s="1613">
        <f>S14</f>
        <v>905042</v>
      </c>
      <c r="W14" s="1613"/>
      <c r="X14" s="1613"/>
      <c r="Y14" s="1111"/>
      <c r="Z14" s="171"/>
      <c r="AA14" s="997"/>
      <c r="AB14" s="997"/>
      <c r="AC14" s="997"/>
      <c r="AD14" s="997"/>
      <c r="AE14" s="997"/>
      <c r="AF14" s="997"/>
      <c r="AG14" s="997"/>
      <c r="AH14" s="997"/>
    </row>
    <row r="15" spans="1:34" ht="18" customHeight="1">
      <c r="C15" s="188"/>
      <c r="D15" s="1101" t="s">
        <v>59</v>
      </c>
      <c r="E15" s="1790" t="s">
        <v>595</v>
      </c>
      <c r="F15" s="1692"/>
      <c r="G15" s="1692"/>
      <c r="H15" s="1692"/>
      <c r="I15" s="1692"/>
      <c r="J15" s="1692"/>
      <c r="K15" s="1692"/>
      <c r="L15" s="1692"/>
      <c r="M15" s="1692"/>
      <c r="N15" s="1692"/>
      <c r="O15" s="1692"/>
      <c r="P15" s="1692"/>
      <c r="Q15" s="1692"/>
      <c r="R15" s="1692"/>
      <c r="S15" s="1568">
        <f>'Other than Salary Income'!U46</f>
        <v>0</v>
      </c>
      <c r="T15" s="1569"/>
      <c r="U15" s="1570"/>
      <c r="V15" s="1560"/>
      <c r="W15" s="1561"/>
      <c r="X15" s="1562"/>
      <c r="Y15" s="1111"/>
      <c r="Z15" s="171"/>
      <c r="AA15" s="997"/>
      <c r="AB15" s="997"/>
      <c r="AC15" s="997"/>
      <c r="AD15" s="997"/>
      <c r="AE15" s="997"/>
      <c r="AF15" s="997"/>
      <c r="AG15" s="997"/>
      <c r="AH15" s="997"/>
    </row>
    <row r="16" spans="1:34" ht="18" customHeight="1">
      <c r="C16" s="188"/>
      <c r="D16" s="1101" t="s">
        <v>60</v>
      </c>
      <c r="E16" s="1790" t="s">
        <v>119</v>
      </c>
      <c r="F16" s="1692"/>
      <c r="G16" s="1692"/>
      <c r="H16" s="1692"/>
      <c r="I16" s="1692"/>
      <c r="J16" s="1692"/>
      <c r="K16" s="1692"/>
      <c r="L16" s="1692"/>
      <c r="M16" s="1692"/>
      <c r="N16" s="1692"/>
      <c r="O16" s="1692"/>
      <c r="P16" s="1692"/>
      <c r="Q16" s="1692"/>
      <c r="R16" s="1692"/>
      <c r="S16" s="1568">
        <f>'Other than Salary Income'!E29</f>
        <v>0</v>
      </c>
      <c r="T16" s="1569"/>
      <c r="U16" s="1570"/>
      <c r="V16" s="1565"/>
      <c r="W16" s="1566"/>
      <c r="X16" s="1567"/>
      <c r="Y16" s="1111"/>
      <c r="Z16" s="171"/>
      <c r="AA16" s="997"/>
      <c r="AB16" s="997"/>
      <c r="AC16" s="997"/>
      <c r="AD16" s="997"/>
      <c r="AE16" s="997"/>
      <c r="AF16" s="997"/>
      <c r="AG16" s="997"/>
      <c r="AH16" s="997"/>
    </row>
    <row r="17" spans="1:34" ht="18" customHeight="1">
      <c r="C17" s="1112" t="s">
        <v>468</v>
      </c>
      <c r="D17" s="1101" t="s">
        <v>71</v>
      </c>
      <c r="E17" s="194" t="s">
        <v>120</v>
      </c>
      <c r="F17" s="196"/>
      <c r="G17" s="196"/>
      <c r="H17" s="2000" t="str">
        <f>'Other than Salary Income'!H47</f>
        <v>Max. deduction of Rs. 10000 U/s 80TTA, 50000 U/s 80TTB</v>
      </c>
      <c r="I17" s="2000"/>
      <c r="J17" s="2000"/>
      <c r="K17" s="2000"/>
      <c r="L17" s="2000"/>
      <c r="M17" s="2000"/>
      <c r="N17" s="2000"/>
      <c r="O17" s="2000"/>
      <c r="P17" s="2000"/>
      <c r="Q17" s="2000"/>
      <c r="R17" s="2001"/>
      <c r="S17" s="1572">
        <f>IF('Master Deails'!B5=6,'Other than Salary Income'!T47,'Other than Salary Income'!S47)</f>
        <v>15000</v>
      </c>
      <c r="T17" s="1573"/>
      <c r="U17" s="1574"/>
      <c r="V17" s="1565"/>
      <c r="W17" s="1566"/>
      <c r="X17" s="1567"/>
      <c r="Y17" s="1111"/>
      <c r="Z17" s="171"/>
      <c r="AA17" s="997"/>
      <c r="AB17" s="997"/>
      <c r="AC17" s="997"/>
      <c r="AD17" s="997"/>
      <c r="AE17" s="997"/>
      <c r="AF17" s="997"/>
      <c r="AG17" s="997"/>
      <c r="AH17" s="997"/>
    </row>
    <row r="18" spans="1:34" ht="18" customHeight="1">
      <c r="C18" s="188"/>
      <c r="D18" s="1101" t="s">
        <v>102</v>
      </c>
      <c r="E18" s="196" t="s">
        <v>121</v>
      </c>
      <c r="F18" s="196"/>
      <c r="G18" s="196"/>
      <c r="H18" s="2003">
        <f>'Other than Salary Income'!U48</f>
        <v>15000</v>
      </c>
      <c r="I18" s="2003"/>
      <c r="J18" s="2003"/>
      <c r="K18" s="2000" t="s">
        <v>362</v>
      </c>
      <c r="L18" s="2000"/>
      <c r="M18" s="2000"/>
      <c r="N18" s="2000"/>
      <c r="O18" s="2000"/>
      <c r="P18" s="2000"/>
      <c r="Q18" s="2000"/>
      <c r="R18" s="2001"/>
      <c r="S18" s="1572">
        <f>IF('Other than Salary Income'!U48&gt;10000,'Other than Salary Income'!U48-10000,0)</f>
        <v>5000</v>
      </c>
      <c r="T18" s="1573"/>
      <c r="U18" s="1574"/>
      <c r="V18" s="1565"/>
      <c r="W18" s="1566"/>
      <c r="X18" s="1567"/>
      <c r="Y18" s="1111"/>
      <c r="Z18" s="171"/>
      <c r="AA18" s="997"/>
      <c r="AB18" s="997"/>
      <c r="AC18" s="997"/>
      <c r="AD18" s="997"/>
      <c r="AE18" s="997"/>
      <c r="AF18" s="997"/>
      <c r="AG18" s="997"/>
      <c r="AH18" s="997"/>
    </row>
    <row r="19" spans="1:34" ht="18" customHeight="1">
      <c r="C19" s="188"/>
      <c r="D19" s="1101" t="s">
        <v>106</v>
      </c>
      <c r="E19" s="1790" t="s">
        <v>122</v>
      </c>
      <c r="F19" s="1692"/>
      <c r="G19" s="1692"/>
      <c r="H19" s="1692"/>
      <c r="I19" s="1692"/>
      <c r="J19" s="1692"/>
      <c r="K19" s="1692"/>
      <c r="L19" s="1692"/>
      <c r="M19" s="1692"/>
      <c r="N19" s="1692"/>
      <c r="O19" s="1692"/>
      <c r="P19" s="1692"/>
      <c r="Q19" s="1692"/>
      <c r="R19" s="1692"/>
      <c r="S19" s="1568">
        <f>'Other than Salary Income'!U49</f>
        <v>0</v>
      </c>
      <c r="T19" s="1569"/>
      <c r="U19" s="1570"/>
      <c r="V19" s="1565"/>
      <c r="W19" s="1566"/>
      <c r="X19" s="1567"/>
      <c r="Y19" s="1111"/>
      <c r="Z19" s="171"/>
      <c r="AA19" s="997"/>
      <c r="AB19" s="997"/>
      <c r="AC19" s="997"/>
      <c r="AD19" s="997"/>
      <c r="AE19" s="997"/>
      <c r="AF19" s="997"/>
      <c r="AG19" s="997"/>
      <c r="AH19" s="997"/>
    </row>
    <row r="20" spans="1:34" ht="18" customHeight="1">
      <c r="C20" s="188"/>
      <c r="D20" s="1037" t="s">
        <v>103</v>
      </c>
      <c r="E20" s="1578" t="str">
        <f>'Other than Salary Income'!D50</f>
        <v>Retirement Gratuity</v>
      </c>
      <c r="F20" s="1578"/>
      <c r="G20" s="1578"/>
      <c r="H20" s="1578"/>
      <c r="I20" s="1578"/>
      <c r="J20" s="1578"/>
      <c r="K20" s="1983"/>
      <c r="L20" s="1983"/>
      <c r="M20" s="1983"/>
      <c r="N20" s="1983"/>
      <c r="O20" s="1983"/>
      <c r="P20" s="1808">
        <f>'Other than Salary Income'!U50</f>
        <v>1500000</v>
      </c>
      <c r="Q20" s="1808"/>
      <c r="R20" s="1809"/>
      <c r="S20" s="1568">
        <v>0</v>
      </c>
      <c r="T20" s="1569"/>
      <c r="U20" s="1570"/>
      <c r="V20" s="416"/>
      <c r="W20" s="417"/>
      <c r="X20" s="418"/>
      <c r="Y20" s="1111"/>
      <c r="Z20" s="171"/>
      <c r="AA20" s="997"/>
      <c r="AB20" s="997"/>
      <c r="AC20" s="997"/>
      <c r="AD20" s="997"/>
      <c r="AE20" s="997"/>
      <c r="AF20" s="997"/>
      <c r="AG20" s="997"/>
      <c r="AH20" s="997"/>
    </row>
    <row r="21" spans="1:34" ht="18" customHeight="1">
      <c r="C21" s="188"/>
      <c r="D21" s="910" t="s">
        <v>375</v>
      </c>
      <c r="E21" s="1564" t="str">
        <f>'Other than Salary Income'!D51</f>
        <v xml:space="preserve">Leave Salary in Retirement Govt. Employee </v>
      </c>
      <c r="F21" s="1564"/>
      <c r="G21" s="1564"/>
      <c r="H21" s="1564"/>
      <c r="I21" s="1564"/>
      <c r="J21" s="1564"/>
      <c r="K21" s="2002"/>
      <c r="L21" s="2002"/>
      <c r="M21" s="2002"/>
      <c r="N21" s="2002"/>
      <c r="O21" s="2002"/>
      <c r="P21" s="1774">
        <f>'Other than Salary Income'!U51</f>
        <v>400000</v>
      </c>
      <c r="Q21" s="1774"/>
      <c r="R21" s="1775"/>
      <c r="S21" s="1572">
        <v>0</v>
      </c>
      <c r="T21" s="1573"/>
      <c r="U21" s="1574"/>
      <c r="V21" s="416"/>
      <c r="W21" s="417"/>
      <c r="X21" s="418"/>
      <c r="Y21" s="1111"/>
      <c r="Z21" s="171"/>
      <c r="AA21" s="997"/>
      <c r="AB21" s="997"/>
      <c r="AC21" s="997"/>
      <c r="AD21" s="997"/>
      <c r="AE21" s="997"/>
      <c r="AF21" s="997"/>
      <c r="AG21" s="997"/>
      <c r="AH21" s="997"/>
    </row>
    <row r="22" spans="1:34" ht="18" customHeight="1">
      <c r="C22" s="188"/>
      <c r="D22" s="1037" t="s">
        <v>101</v>
      </c>
      <c r="E22" s="1578" t="str">
        <f>'Other than Salary Income'!D52</f>
        <v>Retrenchment Compensation</v>
      </c>
      <c r="F22" s="1578"/>
      <c r="G22" s="1578"/>
      <c r="H22" s="1578"/>
      <c r="I22" s="1578"/>
      <c r="J22" s="1578"/>
      <c r="K22" s="1983"/>
      <c r="L22" s="1983"/>
      <c r="M22" s="1983"/>
      <c r="N22" s="1983"/>
      <c r="O22" s="1983"/>
      <c r="P22" s="1808">
        <f>'Other than Salary Income'!U52</f>
        <v>2500000</v>
      </c>
      <c r="Q22" s="1808"/>
      <c r="R22" s="1809"/>
      <c r="S22" s="1627">
        <v>0</v>
      </c>
      <c r="T22" s="1628"/>
      <c r="U22" s="1629"/>
      <c r="V22" s="416"/>
      <c r="W22" s="417"/>
      <c r="X22" s="418"/>
      <c r="Y22" s="1111"/>
      <c r="Z22" s="171"/>
      <c r="AA22" s="997"/>
      <c r="AB22" s="997"/>
      <c r="AC22" s="997"/>
      <c r="AD22" s="997"/>
      <c r="AE22" s="997"/>
      <c r="AF22" s="997"/>
      <c r="AG22" s="997"/>
      <c r="AH22" s="997"/>
    </row>
    <row r="23" spans="1:34" ht="18" customHeight="1">
      <c r="C23" s="188"/>
      <c r="D23" s="1037" t="s">
        <v>376</v>
      </c>
      <c r="E23" s="1578" t="str">
        <f>'Other than Salary Income'!D54</f>
        <v>Agricultural Income</v>
      </c>
      <c r="F23" s="1578"/>
      <c r="G23" s="1578"/>
      <c r="H23" s="1578"/>
      <c r="I23" s="1578"/>
      <c r="J23" s="1578"/>
      <c r="K23" s="1983" t="str">
        <f>'Other than Salary Income'!N54</f>
        <v>U/s Section 10(1) Ded. Max. 5000</v>
      </c>
      <c r="L23" s="1983"/>
      <c r="M23" s="1983"/>
      <c r="N23" s="1983"/>
      <c r="O23" s="1983"/>
      <c r="P23" s="1808">
        <f>'Other than Salary Income'!U54</f>
        <v>5000</v>
      </c>
      <c r="Q23" s="1808"/>
      <c r="R23" s="1809"/>
      <c r="S23" s="1627">
        <f>P23</f>
        <v>5000</v>
      </c>
      <c r="T23" s="1628"/>
      <c r="U23" s="1629"/>
      <c r="V23" s="416"/>
      <c r="W23" s="417"/>
      <c r="X23" s="418"/>
      <c r="Y23" s="1111"/>
      <c r="Z23" s="171"/>
      <c r="AA23" s="997"/>
      <c r="AB23" s="997"/>
      <c r="AC23" s="997"/>
      <c r="AD23" s="997"/>
      <c r="AE23" s="997"/>
      <c r="AF23" s="997"/>
      <c r="AG23" s="997"/>
      <c r="AH23" s="997"/>
    </row>
    <row r="24" spans="1:34" ht="18" customHeight="1">
      <c r="C24" s="188"/>
      <c r="D24" s="1037" t="s">
        <v>377</v>
      </c>
      <c r="E24" s="1054" t="s">
        <v>573</v>
      </c>
      <c r="F24" s="990"/>
      <c r="G24" s="990"/>
      <c r="H24" s="1070"/>
      <c r="I24" s="1059">
        <f>IF(Z24&gt;15000,15000,Z24)</f>
        <v>13333</v>
      </c>
      <c r="J24" s="1059">
        <f>'Other than Salary Income'!U55</f>
        <v>40000</v>
      </c>
      <c r="K24" s="1983"/>
      <c r="L24" s="1983"/>
      <c r="M24" s="1983"/>
      <c r="N24" s="1983"/>
      <c r="O24" s="1983"/>
      <c r="P24" s="1808">
        <f>'Other than Salary Income'!U55</f>
        <v>40000</v>
      </c>
      <c r="Q24" s="1808"/>
      <c r="R24" s="1809"/>
      <c r="S24" s="1627">
        <v>0</v>
      </c>
      <c r="T24" s="1628"/>
      <c r="U24" s="1629"/>
      <c r="V24" s="416"/>
      <c r="W24" s="417"/>
      <c r="X24" s="418"/>
      <c r="Y24" s="1111" t="s">
        <v>572</v>
      </c>
      <c r="Z24" s="1969">
        <f>ROUND(P24/3,0)</f>
        <v>13333</v>
      </c>
      <c r="AA24" s="1969"/>
      <c r="AB24" s="997"/>
      <c r="AC24" s="997"/>
      <c r="AD24" s="997"/>
      <c r="AE24" s="997"/>
      <c r="AF24" s="997"/>
      <c r="AG24" s="997"/>
      <c r="AH24" s="997"/>
    </row>
    <row r="25" spans="1:34" ht="18" customHeight="1">
      <c r="C25" s="188"/>
      <c r="D25" s="1037" t="s">
        <v>571</v>
      </c>
      <c r="E25" s="1578" t="str">
        <f>'Other than Salary Income'!D56</f>
        <v>Other Income Sources [ if any ]</v>
      </c>
      <c r="F25" s="1578"/>
      <c r="G25" s="1578"/>
      <c r="H25" s="1578"/>
      <c r="I25" s="1578"/>
      <c r="J25" s="1578"/>
      <c r="K25" s="1578"/>
      <c r="L25" s="196"/>
      <c r="M25" s="196"/>
      <c r="N25" s="196"/>
      <c r="O25" s="196"/>
      <c r="P25" s="1808">
        <f>'Other than Salary Income'!U56</f>
        <v>0</v>
      </c>
      <c r="Q25" s="1808"/>
      <c r="R25" s="1809"/>
      <c r="S25" s="1572">
        <f>'Other than Salary Income'!U56</f>
        <v>0</v>
      </c>
      <c r="T25" s="1573"/>
      <c r="U25" s="1574"/>
      <c r="V25" s="1822"/>
      <c r="W25" s="1823"/>
      <c r="X25" s="1824"/>
      <c r="Y25" s="1111"/>
      <c r="Z25" s="171"/>
      <c r="AA25" s="997"/>
      <c r="AB25" s="997"/>
      <c r="AC25" s="997"/>
      <c r="AD25" s="997"/>
      <c r="AE25" s="997"/>
      <c r="AF25" s="997"/>
      <c r="AG25" s="997"/>
      <c r="AH25" s="997"/>
    </row>
    <row r="26" spans="1:34" ht="18" customHeight="1">
      <c r="C26" s="189"/>
      <c r="D26" s="1037" t="s">
        <v>586</v>
      </c>
      <c r="E26" s="196"/>
      <c r="F26" s="196"/>
      <c r="G26" s="196"/>
      <c r="H26" s="196"/>
      <c r="I26" s="196"/>
      <c r="J26" s="196"/>
      <c r="K26" s="196"/>
      <c r="L26" s="1100"/>
      <c r="M26" s="1100"/>
      <c r="N26" s="1100"/>
      <c r="O26" s="1679">
        <f>SUM(P20:R25)</f>
        <v>4445000</v>
      </c>
      <c r="P26" s="1679"/>
      <c r="Q26" s="1679"/>
      <c r="R26" s="1100"/>
      <c r="S26" s="1569">
        <f>SUM(S15:U25)</f>
        <v>25000</v>
      </c>
      <c r="T26" s="1569"/>
      <c r="U26" s="1570"/>
      <c r="V26" s="1645">
        <f>SUM(S14:U25)</f>
        <v>930042</v>
      </c>
      <c r="W26" s="1645"/>
      <c r="X26" s="1645"/>
      <c r="Y26" s="1111"/>
      <c r="Z26" s="171"/>
      <c r="AA26" s="997"/>
      <c r="AB26" s="997"/>
      <c r="AC26" s="997"/>
      <c r="AD26" s="997"/>
      <c r="AE26" s="997"/>
      <c r="AF26" s="997"/>
      <c r="AG26" s="997"/>
      <c r="AH26" s="997"/>
    </row>
    <row r="27" spans="1:34" ht="19.5" customHeight="1">
      <c r="C27" s="838">
        <v>2</v>
      </c>
      <c r="D27" s="1819" t="s">
        <v>610</v>
      </c>
      <c r="E27" s="1820"/>
      <c r="F27" s="1820"/>
      <c r="G27" s="1820"/>
      <c r="H27" s="1820"/>
      <c r="I27" s="1820"/>
      <c r="J27" s="1820"/>
      <c r="K27" s="1820"/>
      <c r="L27" s="1820"/>
      <c r="M27" s="1820"/>
      <c r="N27" s="1820"/>
      <c r="O27" s="1820"/>
      <c r="P27" s="1820"/>
      <c r="Q27" s="1820"/>
      <c r="R27" s="1820"/>
      <c r="S27" s="1820"/>
      <c r="T27" s="1820"/>
      <c r="U27" s="1821"/>
      <c r="V27" s="1825">
        <v>0</v>
      </c>
      <c r="W27" s="1826"/>
      <c r="X27" s="1827"/>
      <c r="Y27" s="1111">
        <f>IF('Master Deails'!H6="No",0,IF(#REF!&gt;=38400,38400,#REF!))</f>
        <v>0</v>
      </c>
      <c r="Z27" s="171"/>
      <c r="AA27" s="997"/>
      <c r="AB27" s="997"/>
      <c r="AC27" s="997"/>
      <c r="AD27" s="997"/>
      <c r="AE27" s="997"/>
      <c r="AF27" s="997"/>
      <c r="AG27" s="997"/>
      <c r="AH27" s="997"/>
    </row>
    <row r="28" spans="1:34">
      <c r="C28" s="436">
        <v>3</v>
      </c>
      <c r="D28" s="1042" t="s">
        <v>611</v>
      </c>
      <c r="E28" s="1040"/>
      <c r="F28" s="1040"/>
      <c r="G28" s="1040"/>
      <c r="H28" s="1040"/>
      <c r="I28" s="1040"/>
      <c r="J28" s="1040"/>
      <c r="K28" s="1040"/>
      <c r="L28" s="1040"/>
      <c r="M28" s="1040"/>
      <c r="N28" s="1040"/>
      <c r="O28" s="1040"/>
      <c r="P28" s="1040"/>
      <c r="Q28" s="1040"/>
      <c r="R28" s="1040"/>
      <c r="S28" s="1040"/>
      <c r="T28" s="1040"/>
      <c r="U28" s="1041"/>
      <c r="V28" s="1825">
        <f>V26-V27</f>
        <v>930042</v>
      </c>
      <c r="W28" s="1826"/>
      <c r="X28" s="1827"/>
      <c r="Y28" s="1111"/>
      <c r="Z28" s="171"/>
      <c r="AA28" s="997"/>
      <c r="AB28" s="997"/>
      <c r="AC28" s="997"/>
      <c r="AD28" s="997"/>
      <c r="AE28" s="997"/>
      <c r="AF28" s="997"/>
      <c r="AG28" s="997"/>
      <c r="AH28" s="997"/>
    </row>
    <row r="29" spans="1:34" ht="18" customHeight="1">
      <c r="C29" s="187">
        <v>4</v>
      </c>
      <c r="D29" s="1633" t="s">
        <v>613</v>
      </c>
      <c r="E29" s="1722"/>
      <c r="F29" s="1722"/>
      <c r="G29" s="1722"/>
      <c r="H29" s="1722"/>
      <c r="I29" s="1722"/>
      <c r="J29" s="1722"/>
      <c r="K29" s="1722"/>
      <c r="L29" s="1722"/>
      <c r="M29" s="1722"/>
      <c r="N29" s="1722"/>
      <c r="O29" s="1722"/>
      <c r="P29" s="1722"/>
      <c r="Q29" s="1722"/>
      <c r="R29" s="1722"/>
      <c r="S29" s="1722"/>
      <c r="T29" s="1722"/>
      <c r="U29" s="1815"/>
      <c r="V29" s="1745"/>
      <c r="W29" s="1746"/>
      <c r="X29" s="1747"/>
      <c r="Y29" s="1111"/>
      <c r="Z29" s="171"/>
      <c r="AA29" s="997"/>
      <c r="AB29" s="997"/>
      <c r="AC29" s="997"/>
      <c r="AD29" s="997"/>
      <c r="AE29" s="997"/>
      <c r="AF29" s="997"/>
      <c r="AG29" s="997"/>
      <c r="AH29" s="997"/>
    </row>
    <row r="30" spans="1:34" s="559" customFormat="1" ht="18.75">
      <c r="A30" s="557"/>
      <c r="B30" s="557"/>
      <c r="C30" s="1065"/>
      <c r="D30" s="1984" t="s">
        <v>612</v>
      </c>
      <c r="E30" s="1985"/>
      <c r="F30" s="1985"/>
      <c r="G30" s="1985"/>
      <c r="H30" s="1985"/>
      <c r="I30" s="1985"/>
      <c r="J30" s="1985"/>
      <c r="K30" s="1985"/>
      <c r="L30" s="1985"/>
      <c r="M30" s="1985"/>
      <c r="N30" s="1985"/>
      <c r="O30" s="1985"/>
      <c r="P30" s="1985"/>
      <c r="Q30" s="1985"/>
      <c r="R30" s="1985"/>
      <c r="S30" s="1985"/>
      <c r="T30" s="1985"/>
      <c r="U30" s="1986"/>
      <c r="V30" s="1825">
        <f>'Investment - Deduction'!U84</f>
        <v>0</v>
      </c>
      <c r="W30" s="1826"/>
      <c r="X30" s="1827"/>
      <c r="Y30" s="1113"/>
      <c r="Z30" s="1000"/>
      <c r="AA30" s="1001"/>
      <c r="AB30" s="1001"/>
      <c r="AC30" s="1002" t="s">
        <v>404</v>
      </c>
      <c r="AD30" s="1002"/>
      <c r="AE30" s="1002"/>
      <c r="AF30" s="1002"/>
      <c r="AG30" s="1002"/>
      <c r="AH30" s="1003"/>
    </row>
    <row r="31" spans="1:34" ht="18" customHeight="1">
      <c r="C31" s="190">
        <v>5</v>
      </c>
      <c r="D31" s="1790" t="s">
        <v>614</v>
      </c>
      <c r="E31" s="1692"/>
      <c r="F31" s="1692"/>
      <c r="G31" s="1692"/>
      <c r="H31" s="1692"/>
      <c r="I31" s="1692"/>
      <c r="J31" s="1692"/>
      <c r="K31" s="1692"/>
      <c r="L31" s="1692"/>
      <c r="M31" s="1692"/>
      <c r="N31" s="1692"/>
      <c r="O31" s="1692"/>
      <c r="P31" s="1692"/>
      <c r="Q31" s="1692"/>
      <c r="R31" s="1692"/>
      <c r="S31" s="1692"/>
      <c r="T31" s="1692"/>
      <c r="U31" s="1693"/>
      <c r="V31" s="1623">
        <f>ROUND(V28-V30,-1)</f>
        <v>930040</v>
      </c>
      <c r="W31" s="1623"/>
      <c r="X31" s="1623"/>
      <c r="Y31" s="1111"/>
      <c r="Z31" s="171"/>
      <c r="AA31" s="997"/>
      <c r="AB31" s="997"/>
      <c r="AC31" s="1008" t="s">
        <v>399</v>
      </c>
      <c r="AD31" s="1009" t="e">
        <f>#REF!-AD32</f>
        <v>#REF!</v>
      </c>
      <c r="AE31" s="1007"/>
      <c r="AF31" s="1010" t="s">
        <v>398</v>
      </c>
      <c r="AG31" s="1011">
        <f>IF(AD32&gt;5000,IF(AE65&gt;0,IF(#REF!="GENERAL",(AD32+AD55),IF(#REF!="GENERAL",AD32+AD59,IF(#REF!="SENIOR CITIZEN",AD32+AD60,IF(#REF!="Very Senior Citizen &gt; 80 years",AD32+AD62,"Please Select Status")))),0),0)</f>
        <v>0</v>
      </c>
      <c r="AH31" s="1007"/>
    </row>
    <row r="32" spans="1:34" ht="18" customHeight="1">
      <c r="C32" s="188">
        <v>6</v>
      </c>
      <c r="D32" s="1720" t="s">
        <v>18</v>
      </c>
      <c r="E32" s="1592"/>
      <c r="F32" s="1592"/>
      <c r="G32" s="1592"/>
      <c r="H32" s="1592"/>
      <c r="I32" s="1592"/>
      <c r="J32" s="1592"/>
      <c r="K32" s="1592"/>
      <c r="L32" s="1592"/>
      <c r="M32" s="1592"/>
      <c r="N32" s="1592"/>
      <c r="O32" s="1592"/>
      <c r="P32" s="1592"/>
      <c r="Q32" s="1592"/>
      <c r="R32" s="1592"/>
      <c r="S32" s="1592"/>
      <c r="T32" s="1592"/>
      <c r="U32" s="1593"/>
      <c r="V32" s="1623">
        <f>T42</f>
        <v>64506</v>
      </c>
      <c r="W32" s="1623"/>
      <c r="X32" s="1623"/>
      <c r="Y32" s="1111"/>
      <c r="Z32" s="171"/>
      <c r="AA32" s="997"/>
      <c r="AB32" s="997"/>
      <c r="AC32" s="1008" t="s">
        <v>374</v>
      </c>
      <c r="AD32" s="1009">
        <f>S23</f>
        <v>5000</v>
      </c>
      <c r="AE32" s="1007"/>
      <c r="AF32" s="1010" t="s">
        <v>397</v>
      </c>
      <c r="AG32" s="1011">
        <f>IF(AD32&gt;5000,IF(AE65&gt;0,IF(#REF!="GENERAL",AH55,IF(#REF!="GENERAL",AH59,IF(#REF!="SENIOR CITIZEN",AH60,IF(#REF!="Very Senior Citizen &gt; 80 years",AH63,0)))),0),0)</f>
        <v>0</v>
      </c>
      <c r="AH32" s="1007"/>
    </row>
    <row r="33" spans="3:34" ht="18" customHeight="1">
      <c r="C33" s="188"/>
      <c r="D33" s="1703" t="s">
        <v>328</v>
      </c>
      <c r="E33" s="1993"/>
      <c r="F33" s="1993"/>
      <c r="G33" s="1993"/>
      <c r="H33" s="1993"/>
      <c r="I33" s="1993"/>
      <c r="J33" s="1993"/>
      <c r="K33" s="1993"/>
      <c r="L33" s="1993"/>
      <c r="M33" s="1993"/>
      <c r="N33" s="1993"/>
      <c r="O33" s="1993"/>
      <c r="P33" s="1993"/>
      <c r="Q33" s="1993"/>
      <c r="R33" s="1993"/>
      <c r="S33" s="1993"/>
      <c r="T33" s="1993"/>
      <c r="U33" s="1994"/>
      <c r="V33" s="1560"/>
      <c r="W33" s="1561"/>
      <c r="X33" s="1562"/>
      <c r="Y33" s="1111"/>
      <c r="Z33" s="171"/>
      <c r="AA33" s="997"/>
      <c r="AB33" s="997"/>
      <c r="AC33" s="1012"/>
      <c r="AD33" s="1013"/>
      <c r="AE33" s="1007"/>
      <c r="AF33" s="1010" t="s">
        <v>396</v>
      </c>
      <c r="AG33" s="1011" t="e">
        <f>#REF!-AG32</f>
        <v>#REF!</v>
      </c>
      <c r="AH33" s="1007"/>
    </row>
    <row r="34" spans="3:34" ht="15.75">
      <c r="C34" s="188"/>
      <c r="D34" s="1998" t="s">
        <v>19</v>
      </c>
      <c r="E34" s="1999"/>
      <c r="F34" s="1999"/>
      <c r="G34" s="1999"/>
      <c r="H34" s="1999"/>
      <c r="I34" s="1999"/>
      <c r="J34" s="1999"/>
      <c r="K34" s="1999"/>
      <c r="N34" s="1995" t="s">
        <v>616</v>
      </c>
      <c r="O34" s="1996"/>
      <c r="P34" s="1997"/>
      <c r="Q34" s="1118" t="s">
        <v>618</v>
      </c>
      <c r="R34" s="1708" t="s">
        <v>617</v>
      </c>
      <c r="S34" s="1991"/>
      <c r="T34" s="1708" t="s">
        <v>615</v>
      </c>
      <c r="U34" s="1991"/>
      <c r="V34" s="1565"/>
      <c r="W34" s="1566"/>
      <c r="X34" s="1567"/>
      <c r="Y34" s="1111"/>
      <c r="Z34" s="171"/>
      <c r="AA34" s="997"/>
      <c r="AB34" s="997"/>
      <c r="AC34" s="1711" t="e">
        <f>IF(#REF!="","Hi! Please enter your Name in the Box provided above",IF(#REF!="",CONCATENATE("Hi there, ",#REF!,", Please Select Your Status and Fill your Income"),IF(AD32="",CONCATENATE("That's Great ",#REF!,", Please Fill your Agricultural and Non Agricultural Income Now"),IF(AD32&lt;5000,"Your Agricultural Income is fully Exempt as it is below Rs.5000",IF(AND(AD32&gt;5000,AE65&lt;1),"Your agricultural income is fully exempt as your non agricultural Income has not exceeded your basic exemption limit",CONCATENATE("The Net Tax Payable is Rs.",#REF!))))))</f>
        <v>#REF!</v>
      </c>
      <c r="AD34" s="1711"/>
      <c r="AE34" s="1007"/>
      <c r="AF34" s="1010" t="s">
        <v>395</v>
      </c>
      <c r="AG34" s="1011" t="e">
        <f>AG33*2%</f>
        <v>#REF!</v>
      </c>
      <c r="AH34" s="1007"/>
    </row>
    <row r="35" spans="3:34" ht="15.75">
      <c r="C35" s="188"/>
      <c r="D35" s="1975" t="s">
        <v>330</v>
      </c>
      <c r="E35" s="1976"/>
      <c r="F35" s="1976"/>
      <c r="G35" s="1976"/>
      <c r="H35" s="1976"/>
      <c r="I35" s="1976"/>
      <c r="J35" s="1976"/>
      <c r="K35" s="1976"/>
      <c r="L35" s="1977">
        <f>(IF(V31&lt;=250000,V31,250000))</f>
        <v>250000</v>
      </c>
      <c r="M35" s="1978"/>
      <c r="N35" s="1971">
        <f>IF(L35&lt;=250000,L35,250000)</f>
        <v>250000</v>
      </c>
      <c r="O35" s="1972"/>
      <c r="P35" s="1119"/>
      <c r="Q35" s="1116" t="s">
        <v>61</v>
      </c>
      <c r="R35" s="1970">
        <v>0</v>
      </c>
      <c r="S35" s="1970"/>
      <c r="T35" s="1992"/>
      <c r="U35" s="1609"/>
      <c r="V35" s="1565"/>
      <c r="W35" s="1566"/>
      <c r="X35" s="1567"/>
      <c r="Y35" s="1111"/>
      <c r="Z35" s="171"/>
      <c r="AA35" s="997"/>
      <c r="AB35" s="997"/>
      <c r="AC35" s="1711"/>
      <c r="AD35" s="1711"/>
      <c r="AE35" s="1007"/>
      <c r="AF35" s="1010" t="s">
        <v>394</v>
      </c>
      <c r="AG35" s="1011" t="e">
        <f>AG33*1%</f>
        <v>#REF!</v>
      </c>
      <c r="AH35" s="1007"/>
    </row>
    <row r="36" spans="3:34">
      <c r="C36" s="188"/>
      <c r="D36" s="1975" t="s">
        <v>331</v>
      </c>
      <c r="E36" s="1976"/>
      <c r="F36" s="1976"/>
      <c r="G36" s="1976"/>
      <c r="H36" s="1976"/>
      <c r="I36" s="1976"/>
      <c r="J36" s="1976"/>
      <c r="K36" s="1976"/>
      <c r="L36" s="1977">
        <f>(IF(V31&lt;=500000,V31-250000,250000))</f>
        <v>250000</v>
      </c>
      <c r="M36" s="1978"/>
      <c r="N36" s="1971">
        <f>IF(L36&lt;=0,0,L36)</f>
        <v>250000</v>
      </c>
      <c r="O36" s="1972"/>
      <c r="P36" s="1119"/>
      <c r="Q36" s="1117">
        <v>0.05</v>
      </c>
      <c r="R36" s="1970">
        <f>ROUND(N36*0.05,0)</f>
        <v>12500</v>
      </c>
      <c r="S36" s="1970"/>
      <c r="T36" s="1973"/>
      <c r="U36" s="1974"/>
      <c r="V36" s="1565"/>
      <c r="W36" s="1566"/>
      <c r="X36" s="1567"/>
      <c r="Y36" s="1111"/>
      <c r="Z36" s="171"/>
      <c r="AA36" s="997"/>
      <c r="AB36" s="997"/>
      <c r="AC36" s="1711"/>
      <c r="AD36" s="1711"/>
      <c r="AE36" s="1014"/>
      <c r="AF36" s="1062" t="s">
        <v>594</v>
      </c>
      <c r="AG36" s="1062"/>
      <c r="AH36" s="1007"/>
    </row>
    <row r="37" spans="3:34">
      <c r="C37" s="188"/>
      <c r="D37" s="1975" t="s">
        <v>604</v>
      </c>
      <c r="E37" s="1976"/>
      <c r="F37" s="1976"/>
      <c r="G37" s="1976"/>
      <c r="H37" s="1976"/>
      <c r="I37" s="1976"/>
      <c r="J37" s="1976"/>
      <c r="K37" s="1976"/>
      <c r="L37" s="1977">
        <f>IF(V31&lt;=750000,V31-500000,250000)</f>
        <v>250000</v>
      </c>
      <c r="M37" s="1978"/>
      <c r="N37" s="1971">
        <f>IF(L37&lt;=0,0,L37)</f>
        <v>250000</v>
      </c>
      <c r="O37" s="1972"/>
      <c r="P37" s="1119"/>
      <c r="Q37" s="1117">
        <v>0.1</v>
      </c>
      <c r="R37" s="1970">
        <f>ROUND(N37*0.1,0)</f>
        <v>25000</v>
      </c>
      <c r="S37" s="1970"/>
      <c r="T37" s="1973"/>
      <c r="U37" s="1974"/>
      <c r="V37" s="1565"/>
      <c r="W37" s="1566"/>
      <c r="X37" s="1567"/>
      <c r="Y37" s="1111"/>
      <c r="Z37" s="171"/>
      <c r="AA37" s="1018" t="s">
        <v>411</v>
      </c>
      <c r="AB37" s="1019">
        <f>IF(V31&lt;=500000,12500,0)</f>
        <v>0</v>
      </c>
      <c r="AC37" s="1711"/>
      <c r="AD37" s="1711"/>
      <c r="AE37" s="1017"/>
      <c r="AF37" s="1007"/>
      <c r="AG37" s="1007"/>
      <c r="AH37" s="1007"/>
    </row>
    <row r="38" spans="3:34">
      <c r="C38" s="188"/>
      <c r="D38" s="1975" t="s">
        <v>605</v>
      </c>
      <c r="E38" s="1976"/>
      <c r="F38" s="1976"/>
      <c r="G38" s="1976"/>
      <c r="H38" s="1976"/>
      <c r="I38" s="1976"/>
      <c r="J38" s="1976"/>
      <c r="K38" s="1976"/>
      <c r="L38" s="1977">
        <f>IF(V31&lt;=1000000,V31-750000,250000)</f>
        <v>180040</v>
      </c>
      <c r="M38" s="1978"/>
      <c r="N38" s="1971">
        <f>IF(L38&lt;=0,0,L38)</f>
        <v>180040</v>
      </c>
      <c r="O38" s="1972"/>
      <c r="P38" s="1119"/>
      <c r="Q38" s="1117">
        <v>0.15</v>
      </c>
      <c r="R38" s="1970">
        <f>ROUND(N38*0.15,0)</f>
        <v>27006</v>
      </c>
      <c r="S38" s="1970"/>
      <c r="T38" s="1973"/>
      <c r="U38" s="1974"/>
      <c r="V38" s="1565"/>
      <c r="W38" s="1566"/>
      <c r="X38" s="1567"/>
      <c r="Y38" s="1111"/>
      <c r="Z38" s="171"/>
      <c r="AA38" s="1018" t="s">
        <v>411</v>
      </c>
      <c r="AB38" s="1019" t="e">
        <f>IF(#REF!&lt;=500000,12500,0)</f>
        <v>#REF!</v>
      </c>
      <c r="AC38" s="1711"/>
      <c r="AD38" s="1711"/>
      <c r="AE38" s="1017"/>
      <c r="AF38" s="1007"/>
      <c r="AG38" s="1007"/>
      <c r="AH38" s="1007"/>
    </row>
    <row r="39" spans="3:34">
      <c r="C39" s="188"/>
      <c r="D39" s="1975" t="s">
        <v>606</v>
      </c>
      <c r="E39" s="1976"/>
      <c r="F39" s="1976"/>
      <c r="G39" s="1976"/>
      <c r="H39" s="1976"/>
      <c r="I39" s="1976"/>
      <c r="J39" s="1976"/>
      <c r="K39" s="1976"/>
      <c r="L39" s="1977">
        <f>(IF(V31&lt;=1250000,V31-1000000,250000))</f>
        <v>-69960</v>
      </c>
      <c r="M39" s="1978"/>
      <c r="N39" s="1971">
        <f>IF(L39&lt;=0,0,L39)</f>
        <v>0</v>
      </c>
      <c r="O39" s="1972"/>
      <c r="P39" s="1119"/>
      <c r="Q39" s="1117">
        <v>0.2</v>
      </c>
      <c r="R39" s="1970">
        <f>ROUND(N39*0.2,0)</f>
        <v>0</v>
      </c>
      <c r="S39" s="1970"/>
      <c r="T39" s="1973"/>
      <c r="U39" s="1974"/>
      <c r="V39" s="1565"/>
      <c r="W39" s="1566"/>
      <c r="X39" s="1567"/>
      <c r="Y39" s="1111"/>
      <c r="Z39" s="171"/>
      <c r="AA39" s="1018" t="s">
        <v>411</v>
      </c>
      <c r="AB39" s="1019">
        <f>IF(V31&lt;=500000,12500,0)</f>
        <v>0</v>
      </c>
      <c r="AC39" s="1711"/>
      <c r="AD39" s="1711"/>
      <c r="AE39" s="1017"/>
      <c r="AF39" s="1007"/>
      <c r="AG39" s="1007"/>
      <c r="AH39" s="1007"/>
    </row>
    <row r="40" spans="3:34">
      <c r="C40" s="188"/>
      <c r="D40" s="1975" t="s">
        <v>607</v>
      </c>
      <c r="E40" s="1976"/>
      <c r="F40" s="1976"/>
      <c r="G40" s="1976"/>
      <c r="H40" s="1976"/>
      <c r="I40" s="1976"/>
      <c r="J40" s="1976"/>
      <c r="K40" s="1976"/>
      <c r="L40" s="1977">
        <f>(IF(V31&lt;=1500000,V31-1250000,250000))</f>
        <v>-319960</v>
      </c>
      <c r="M40" s="1978"/>
      <c r="N40" s="1971">
        <f>IF(L40&lt;=0,0,L40)</f>
        <v>0</v>
      </c>
      <c r="O40" s="1972"/>
      <c r="P40" s="1119"/>
      <c r="Q40" s="1117">
        <v>0.25</v>
      </c>
      <c r="R40" s="1970">
        <f>ROUND(N40*0.25,0)</f>
        <v>0</v>
      </c>
      <c r="S40" s="1970"/>
      <c r="T40" s="1973"/>
      <c r="U40" s="1974"/>
      <c r="V40" s="1565"/>
      <c r="W40" s="1566"/>
      <c r="X40" s="1567"/>
      <c r="Y40" s="1111"/>
      <c r="Z40" s="171"/>
      <c r="AA40" s="1018" t="s">
        <v>411</v>
      </c>
      <c r="AB40" s="1019">
        <f>IF(V33&lt;=500000,12500,0)</f>
        <v>12500</v>
      </c>
      <c r="AC40" s="1711"/>
      <c r="AD40" s="1711"/>
      <c r="AE40" s="1017"/>
      <c r="AF40" s="1007"/>
      <c r="AG40" s="1007"/>
      <c r="AH40" s="1007"/>
    </row>
    <row r="41" spans="3:34" ht="15.75">
      <c r="C41" s="188"/>
      <c r="D41" s="1975" t="s">
        <v>608</v>
      </c>
      <c r="E41" s="1976"/>
      <c r="F41" s="1976"/>
      <c r="G41" s="1976"/>
      <c r="H41" s="1976"/>
      <c r="I41" s="1976"/>
      <c r="J41" s="1976"/>
      <c r="K41" s="1976"/>
      <c r="L41" s="1977">
        <f>(IF(V31&gt;=1500001,V31-1500000,0))</f>
        <v>0</v>
      </c>
      <c r="M41" s="1978"/>
      <c r="N41" s="1971">
        <f>IF(L41&gt;=0,L41,0)</f>
        <v>0</v>
      </c>
      <c r="O41" s="1972"/>
      <c r="P41" s="1119"/>
      <c r="Q41" s="1117">
        <v>0.3</v>
      </c>
      <c r="R41" s="1970">
        <f>ROUND(N41*0.3,0)</f>
        <v>0</v>
      </c>
      <c r="S41" s="1970"/>
      <c r="T41" s="1610"/>
      <c r="U41" s="1612"/>
      <c r="V41" s="1565"/>
      <c r="W41" s="1566"/>
      <c r="X41" s="1567"/>
      <c r="Y41" s="1111"/>
      <c r="Z41" s="171"/>
      <c r="AA41" s="1018" t="s">
        <v>412</v>
      </c>
      <c r="AB41" s="1019" t="e">
        <f>IF(#REF!&gt;AB37,AB37,#REF!)</f>
        <v>#REF!</v>
      </c>
      <c r="AC41" s="1711"/>
      <c r="AD41" s="1711"/>
      <c r="AE41" s="1020"/>
      <c r="AF41" s="1020"/>
      <c r="AG41" s="1020"/>
      <c r="AH41" s="1007"/>
    </row>
    <row r="42" spans="3:34">
      <c r="C42" s="189"/>
      <c r="D42" s="1591"/>
      <c r="E42" s="1592"/>
      <c r="F42" s="1592"/>
      <c r="G42" s="1592"/>
      <c r="H42" s="1592"/>
      <c r="I42" s="1592"/>
      <c r="J42" s="1592"/>
      <c r="K42" s="1592"/>
      <c r="L42" s="1592"/>
      <c r="M42" s="1592"/>
      <c r="N42" s="1592"/>
      <c r="O42" s="1592"/>
      <c r="P42" s="1592"/>
      <c r="Q42" s="1592"/>
      <c r="R42" s="1592"/>
      <c r="S42" s="1593"/>
      <c r="T42" s="1979">
        <f>SUM(R35:R41)</f>
        <v>64506</v>
      </c>
      <c r="U42" s="1979"/>
      <c r="V42" s="540"/>
      <c r="W42" s="541"/>
      <c r="X42" s="542"/>
      <c r="Y42" s="1111"/>
      <c r="Z42" s="171"/>
      <c r="AA42" s="997"/>
      <c r="AB42" s="997"/>
      <c r="AC42" s="1021"/>
      <c r="AD42" s="1021"/>
      <c r="AE42" s="1021"/>
      <c r="AF42" s="1021"/>
      <c r="AG42" s="1021"/>
      <c r="AH42" s="1007"/>
    </row>
    <row r="43" spans="3:34">
      <c r="C43" s="1656" t="s">
        <v>561</v>
      </c>
      <c r="D43" s="1657"/>
      <c r="E43" s="1657"/>
      <c r="F43" s="1657"/>
      <c r="G43" s="1657"/>
      <c r="H43" s="1657"/>
      <c r="I43" s="1657"/>
      <c r="J43" s="1657"/>
      <c r="K43" s="1657"/>
      <c r="L43" s="1657"/>
      <c r="M43" s="1657"/>
      <c r="N43" s="1657"/>
      <c r="O43" s="1657"/>
      <c r="P43" s="1657"/>
      <c r="Q43" s="1657"/>
      <c r="R43" s="1657"/>
      <c r="S43" s="1657"/>
      <c r="T43" s="1657"/>
      <c r="U43" s="1658"/>
      <c r="V43" s="1653">
        <f>IF(V31&lt;=500000,12500,0)</f>
        <v>0</v>
      </c>
      <c r="W43" s="1654"/>
      <c r="X43" s="1655"/>
      <c r="Y43" s="1111"/>
      <c r="Z43" s="171"/>
      <c r="AA43" s="997"/>
      <c r="AB43" s="997"/>
      <c r="AC43" s="997"/>
      <c r="AD43" s="997"/>
      <c r="AE43" s="997"/>
      <c r="AF43" s="997"/>
      <c r="AG43" s="997"/>
      <c r="AH43" s="997"/>
    </row>
    <row r="44" spans="3:34" ht="15" customHeight="1">
      <c r="C44" s="1133">
        <v>7</v>
      </c>
      <c r="D44" s="194" t="s">
        <v>592</v>
      </c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100"/>
      <c r="S44" s="1982"/>
      <c r="T44" s="1679"/>
      <c r="U44" s="1068"/>
      <c r="V44" s="1651">
        <f>IF(V32&lt;=12500,0,V32-V43)</f>
        <v>64506</v>
      </c>
      <c r="W44" s="1651"/>
      <c r="X44" s="1652"/>
      <c r="Y44" s="1111"/>
      <c r="Z44" s="171"/>
      <c r="AA44" s="997"/>
      <c r="AB44" s="997"/>
      <c r="AC44" s="1021"/>
      <c r="AD44" s="1021"/>
      <c r="AE44" s="1021"/>
      <c r="AF44" s="1021"/>
      <c r="AG44" s="1021"/>
      <c r="AH44" s="1007"/>
    </row>
    <row r="45" spans="3:34" ht="15" customHeight="1">
      <c r="C45" s="1133">
        <v>8</v>
      </c>
      <c r="D45" s="910" t="s">
        <v>633</v>
      </c>
      <c r="E45" s="1038"/>
      <c r="F45" s="1038"/>
      <c r="G45" s="1038"/>
      <c r="H45" s="1038"/>
      <c r="I45" s="1038"/>
      <c r="J45" s="1038"/>
      <c r="K45" s="1038"/>
      <c r="L45" s="1038"/>
      <c r="M45" s="1038"/>
      <c r="N45" s="1038"/>
      <c r="O45" s="1038"/>
      <c r="P45" s="1038"/>
      <c r="Q45" s="1038"/>
      <c r="R45" s="1143"/>
      <c r="S45" s="1143">
        <f>ROUND(V44*0.1,0)</f>
        <v>6451</v>
      </c>
      <c r="T45" s="1143"/>
      <c r="U45" s="1144"/>
      <c r="V45" s="1651">
        <f>IF(V32&gt;=5000001,S45,0)</f>
        <v>0</v>
      </c>
      <c r="W45" s="1651"/>
      <c r="X45" s="1652"/>
      <c r="Y45" s="1111"/>
      <c r="Z45" s="171" t="s">
        <v>574</v>
      </c>
      <c r="AA45" s="997"/>
      <c r="AB45" s="997">
        <f>ROUND(V47/12,0)</f>
        <v>5591</v>
      </c>
      <c r="AC45" s="1021"/>
      <c r="AD45" s="1021"/>
      <c r="AE45" s="1021"/>
      <c r="AF45" s="1021"/>
      <c r="AG45" s="1021"/>
      <c r="AH45" s="1007"/>
    </row>
    <row r="46" spans="3:34" ht="15" customHeight="1">
      <c r="C46" s="1132">
        <v>9</v>
      </c>
      <c r="D46" s="1037" t="s">
        <v>508</v>
      </c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100"/>
      <c r="S46" s="1138" t="s">
        <v>593</v>
      </c>
      <c r="T46" s="1138"/>
      <c r="U46" s="1139">
        <f>ROUND((V44)*0.04,0)</f>
        <v>2580</v>
      </c>
      <c r="V46" s="1651">
        <f>U46</f>
        <v>2580</v>
      </c>
      <c r="W46" s="1651"/>
      <c r="X46" s="1652"/>
      <c r="Y46" s="1111"/>
      <c r="Z46" s="171" t="s">
        <v>575</v>
      </c>
      <c r="AA46" s="997"/>
      <c r="AB46" s="997">
        <f>ROUND(AB50/12,0)</f>
        <v>2750</v>
      </c>
      <c r="AC46" s="1007"/>
      <c r="AD46" s="1007"/>
      <c r="AE46" s="1007"/>
      <c r="AF46" s="1007"/>
      <c r="AG46" s="1007"/>
      <c r="AH46" s="1007"/>
    </row>
    <row r="47" spans="3:34" ht="15" customHeight="1">
      <c r="C47" s="1063"/>
      <c r="D47" s="1141" t="s">
        <v>591</v>
      </c>
      <c r="E47" s="1141"/>
      <c r="F47" s="1141"/>
      <c r="G47" s="1141"/>
      <c r="H47" s="1141"/>
      <c r="I47" s="1141"/>
      <c r="J47" s="1141"/>
      <c r="K47" s="1141"/>
      <c r="L47" s="1141"/>
      <c r="M47" s="1141"/>
      <c r="N47" s="1141"/>
      <c r="O47" s="1141"/>
      <c r="P47" s="1141"/>
      <c r="Q47" s="1141"/>
      <c r="R47" s="1142"/>
      <c r="S47" s="1142"/>
      <c r="T47" s="1142"/>
      <c r="U47" s="1122"/>
      <c r="V47" s="1650">
        <f>ROUND(V44+V46+V45,0)</f>
        <v>67086</v>
      </c>
      <c r="W47" s="1651"/>
      <c r="X47" s="1652"/>
      <c r="Y47" s="1111"/>
      <c r="Z47" s="996" t="s">
        <v>578</v>
      </c>
      <c r="AA47" s="997"/>
      <c r="AB47" s="997">
        <f>AB45-AB46</f>
        <v>2841</v>
      </c>
      <c r="AC47" s="1022" t="s">
        <v>392</v>
      </c>
      <c r="AD47" s="1007"/>
      <c r="AE47" s="1007"/>
      <c r="AF47" s="1007"/>
      <c r="AG47" s="1022" t="s">
        <v>391</v>
      </c>
      <c r="AH47" s="1007"/>
    </row>
    <row r="48" spans="3:34" ht="15" customHeight="1">
      <c r="C48" s="1132">
        <v>10</v>
      </c>
      <c r="D48" s="1140" t="str">
        <f>CONCATENATE('Other than Salary Income'!C130)</f>
        <v xml:space="preserve">Less : Relief U/s 89 [Attach Details Form 10 E]  </v>
      </c>
      <c r="E48" s="1141"/>
      <c r="F48" s="1141"/>
      <c r="G48" s="1141"/>
      <c r="H48" s="1141"/>
      <c r="I48" s="1141"/>
      <c r="J48" s="1141"/>
      <c r="K48" s="1141"/>
      <c r="L48" s="1141"/>
      <c r="M48" s="1141"/>
      <c r="N48" s="1141"/>
      <c r="O48" s="1141"/>
      <c r="P48" s="1141"/>
      <c r="Q48" s="1141"/>
      <c r="R48" s="1142"/>
      <c r="S48" s="1142"/>
      <c r="T48" s="1142"/>
      <c r="U48" s="1122"/>
      <c r="V48" s="1650">
        <f>'Investment - Deduction'!U120</f>
        <v>18189</v>
      </c>
      <c r="W48" s="1651"/>
      <c r="X48" s="1652"/>
      <c r="Y48" s="1111"/>
      <c r="Z48" s="171" t="s">
        <v>577</v>
      </c>
      <c r="AA48" s="1016">
        <f>IF(AB45&lt;AB46,0,AB47*12)</f>
        <v>34092</v>
      </c>
      <c r="AB48" s="997">
        <f>ROUND(AA48*1%,0)</f>
        <v>341</v>
      </c>
      <c r="AD48" s="1007"/>
      <c r="AE48" s="1007"/>
      <c r="AF48" s="1007"/>
      <c r="AG48" s="1007"/>
      <c r="AH48" s="1007"/>
    </row>
    <row r="49" spans="3:34" ht="15" customHeight="1">
      <c r="C49" s="1132">
        <v>11</v>
      </c>
      <c r="D49" s="1037" t="s">
        <v>635</v>
      </c>
      <c r="S49" s="1111">
        <f>IF(V48&gt;=V47,0,V47-V48)</f>
        <v>48897</v>
      </c>
      <c r="V49" s="1650">
        <f>S49</f>
        <v>48897</v>
      </c>
      <c r="W49" s="1651"/>
      <c r="X49" s="1652"/>
      <c r="Y49" s="1111"/>
      <c r="Z49" s="171"/>
      <c r="AA49" s="1016"/>
      <c r="AB49" s="997"/>
      <c r="AD49" s="1007"/>
      <c r="AE49" s="1007"/>
      <c r="AF49" s="1007"/>
      <c r="AG49" s="1007"/>
      <c r="AH49" s="1007"/>
    </row>
    <row r="50" spans="3:34" ht="15" customHeight="1">
      <c r="C50" s="1065">
        <v>12</v>
      </c>
      <c r="D50" s="1037" t="str">
        <f>CONCATENATE("Tax Paid up to ","November")</f>
        <v>Tax Paid up to November</v>
      </c>
      <c r="E50" s="194"/>
      <c r="F50" s="194"/>
      <c r="G50" s="194"/>
      <c r="H50" s="194"/>
      <c r="I50" s="194"/>
      <c r="J50" s="1682">
        <f>U4</f>
        <v>44256</v>
      </c>
      <c r="K50" s="1682"/>
      <c r="L50" s="194"/>
      <c r="M50" s="194"/>
      <c r="N50" s="194"/>
      <c r="O50" s="194"/>
      <c r="P50" s="194"/>
      <c r="Q50" s="194"/>
      <c r="R50" s="1120"/>
      <c r="S50" s="1120"/>
      <c r="T50" s="1120"/>
      <c r="U50" s="1121"/>
      <c r="V50" s="1650">
        <f>SUM('Other than Salary Income'!W11:W19)</f>
        <v>27000</v>
      </c>
      <c r="W50" s="1651"/>
      <c r="X50" s="1652"/>
      <c r="Y50" s="1111"/>
      <c r="Z50" s="171" t="s">
        <v>576</v>
      </c>
      <c r="AA50" s="997"/>
      <c r="AB50" s="997">
        <f>SUM(V50:X52)</f>
        <v>33000</v>
      </c>
      <c r="AD50" s="1007"/>
      <c r="AE50" s="1007"/>
      <c r="AF50" s="1007"/>
      <c r="AG50" s="1007"/>
      <c r="AH50" s="1007"/>
    </row>
    <row r="51" spans="3:34" ht="15" customHeight="1">
      <c r="C51" s="1067"/>
      <c r="D51" s="1037" t="str">
        <f>CONCATENATE("Tax to be deducted in ","December")</f>
        <v>Tax to be deducted in December</v>
      </c>
      <c r="E51" s="196"/>
      <c r="F51" s="196"/>
      <c r="G51" s="196"/>
      <c r="H51" s="196"/>
      <c r="I51" s="197"/>
      <c r="J51" s="1069"/>
      <c r="K51" s="1682">
        <f>U4</f>
        <v>44256</v>
      </c>
      <c r="L51" s="1682"/>
      <c r="M51" s="195"/>
      <c r="N51" s="196"/>
      <c r="O51" s="196"/>
      <c r="P51" s="196"/>
      <c r="Q51" s="196"/>
      <c r="R51" s="196"/>
      <c r="S51" s="196"/>
      <c r="T51" s="196"/>
      <c r="U51" s="1061"/>
      <c r="V51" s="1650">
        <f>'Other than Salary Income'!W20</f>
        <v>3000</v>
      </c>
      <c r="W51" s="1651"/>
      <c r="X51" s="1652"/>
      <c r="Y51" s="1111"/>
      <c r="Z51" s="1016"/>
      <c r="AD51" s="1007"/>
      <c r="AE51" s="1007"/>
      <c r="AF51" s="1007"/>
      <c r="AG51" s="1007"/>
      <c r="AH51" s="1007"/>
    </row>
    <row r="52" spans="3:34" ht="15" customHeight="1">
      <c r="C52" s="558"/>
      <c r="D52" s="1037" t="str">
        <f>CONCATENATE("Tax to be deducted in ","January")</f>
        <v>Tax to be deducted in January</v>
      </c>
      <c r="E52" s="196"/>
      <c r="F52" s="196"/>
      <c r="G52" s="196"/>
      <c r="H52" s="196"/>
      <c r="I52" s="197"/>
      <c r="J52" s="1069"/>
      <c r="K52" s="1682">
        <f>W4</f>
        <v>44562</v>
      </c>
      <c r="L52" s="1682"/>
      <c r="M52" s="195"/>
      <c r="N52" s="196"/>
      <c r="O52" s="196"/>
      <c r="P52" s="196"/>
      <c r="Q52" s="196"/>
      <c r="R52" s="196"/>
      <c r="S52" s="196"/>
      <c r="T52" s="196"/>
      <c r="U52" s="1061"/>
      <c r="V52" s="1650">
        <f>'Other than Salary Income'!W21</f>
        <v>3000</v>
      </c>
      <c r="W52" s="1651"/>
      <c r="X52" s="1652"/>
      <c r="Y52" s="1111"/>
      <c r="Z52" s="171"/>
      <c r="AA52" s="997"/>
      <c r="AD52" s="1025"/>
      <c r="AE52" s="1025"/>
      <c r="AF52" s="1025"/>
      <c r="AG52" s="1025"/>
      <c r="AH52" s="1025"/>
    </row>
    <row r="53" spans="3:34" ht="15" customHeight="1">
      <c r="C53" s="1065">
        <v>13</v>
      </c>
      <c r="D53" s="1691" t="s">
        <v>583</v>
      </c>
      <c r="E53" s="1692"/>
      <c r="F53" s="1692"/>
      <c r="G53" s="1692"/>
      <c r="H53" s="1692"/>
      <c r="I53" s="1692"/>
      <c r="J53" s="1692"/>
      <c r="K53" s="1692"/>
      <c r="L53" s="1692"/>
      <c r="M53" s="1692"/>
      <c r="N53" s="1692"/>
      <c r="O53" s="1692"/>
      <c r="P53" s="1692"/>
      <c r="Q53" s="1692"/>
      <c r="R53" s="1692"/>
      <c r="S53" s="1692"/>
      <c r="T53" s="1692"/>
      <c r="U53" s="1693"/>
      <c r="V53" s="1650">
        <f>V50+V51+V52</f>
        <v>33000</v>
      </c>
      <c r="W53" s="1651"/>
      <c r="X53" s="1652"/>
      <c r="Y53" s="1111"/>
      <c r="Z53" s="171"/>
      <c r="AA53" s="997"/>
      <c r="AD53" s="1025" t="s">
        <v>390</v>
      </c>
      <c r="AE53" s="1007"/>
      <c r="AF53" s="1007"/>
      <c r="AG53" s="1007"/>
      <c r="AH53" s="1007"/>
    </row>
    <row r="54" spans="3:34" ht="15" customHeight="1">
      <c r="C54" s="1067"/>
      <c r="D54" s="1037" t="s">
        <v>579</v>
      </c>
      <c r="E54" s="196"/>
      <c r="F54" s="196"/>
      <c r="G54" s="196"/>
      <c r="H54" s="196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068">
        <f>AB48</f>
        <v>341</v>
      </c>
      <c r="V54" s="1663">
        <f>IF(Y54="yes",AB48,0)</f>
        <v>0</v>
      </c>
      <c r="W54" s="1664"/>
      <c r="X54" s="1665"/>
      <c r="Y54" s="1023" t="s">
        <v>442</v>
      </c>
      <c r="Z54" s="171"/>
      <c r="AA54" s="997"/>
      <c r="AB54" s="997"/>
      <c r="AC54" s="1007"/>
      <c r="AD54" s="1007">
        <v>0</v>
      </c>
      <c r="AE54" s="1007"/>
      <c r="AF54" s="1007"/>
      <c r="AG54" s="1007" t="s">
        <v>141</v>
      </c>
      <c r="AH54" s="1007"/>
    </row>
    <row r="55" spans="3:34" ht="15" customHeight="1">
      <c r="C55" s="558">
        <v>14</v>
      </c>
      <c r="D55" s="1037" t="s">
        <v>584</v>
      </c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650">
        <f>V49+V54</f>
        <v>48897</v>
      </c>
      <c r="W55" s="1651"/>
      <c r="X55" s="1652"/>
      <c r="Y55" s="171"/>
      <c r="Z55" s="171"/>
      <c r="AA55" s="997"/>
      <c r="AB55" s="997"/>
      <c r="AC55" s="1007" t="s">
        <v>389</v>
      </c>
      <c r="AD55" s="1007">
        <v>250000</v>
      </c>
      <c r="AE55" s="1007"/>
      <c r="AF55" s="1007"/>
      <c r="AG55" s="1007" t="e">
        <f>IF(#REF!&gt;1000000,(((#REF!-1000000)*0.3)+112500),IF(#REF!&gt;500000,(((#REF!-500000)*0.2)+12500),IF(#REF!&gt;250000,((#REF!-250000)*0.05),0)))</f>
        <v>#REF!</v>
      </c>
      <c r="AH55" s="1007">
        <f>IF(AG31&gt;1000000,(((AG31-1000000)*0.3)+112500),IF(AG31&gt;500000,(((AG31-500000)*0.2)+12500),IF(AG31&gt;250000,((AG31-250000)*0.05),0)))</f>
        <v>0</v>
      </c>
    </row>
    <row r="56" spans="3:34" ht="15" customHeight="1">
      <c r="C56" s="1065"/>
      <c r="D56" s="1167" t="s">
        <v>644</v>
      </c>
      <c r="E56" s="196"/>
      <c r="F56" s="196"/>
      <c r="G56" s="196"/>
      <c r="H56" s="196"/>
      <c r="I56" s="196"/>
      <c r="J56" s="196"/>
      <c r="K56" s="196"/>
      <c r="L56" s="196"/>
      <c r="M56" s="196"/>
      <c r="N56" s="196"/>
      <c r="O56" s="196"/>
      <c r="P56" s="196"/>
      <c r="Q56" s="196"/>
      <c r="R56" s="1977" t="str">
        <f>IF(AND(V59=0)," ",IF(V53&gt;V47,"Refundable","Payble"))</f>
        <v>Payble</v>
      </c>
      <c r="S56" s="1977"/>
      <c r="T56" s="1977"/>
      <c r="U56" s="1978"/>
      <c r="V56" s="1650">
        <f>V55-V53</f>
        <v>15897</v>
      </c>
      <c r="W56" s="1651"/>
      <c r="X56" s="1652"/>
      <c r="Z56" s="171" t="s">
        <v>441</v>
      </c>
      <c r="AA56" s="997"/>
      <c r="AB56" s="997"/>
      <c r="AC56" s="1007"/>
      <c r="AD56" s="1007"/>
      <c r="AE56" s="1007"/>
      <c r="AF56" s="1007"/>
      <c r="AG56" s="1007"/>
      <c r="AH56" s="1007"/>
    </row>
    <row r="57" spans="3:34" ht="15" customHeight="1">
      <c r="C57" s="1065">
        <v>15</v>
      </c>
      <c r="D57" s="193" t="str">
        <f>CONCATENATE("Tax to be deducted in ","February")</f>
        <v>Tax to be deducted in February</v>
      </c>
      <c r="E57" s="196"/>
      <c r="F57" s="196"/>
      <c r="G57" s="196"/>
      <c r="H57" s="196"/>
      <c r="I57" s="197"/>
      <c r="J57" s="197"/>
      <c r="K57" s="1690">
        <f>W4</f>
        <v>44562</v>
      </c>
      <c r="L57" s="1690"/>
      <c r="M57" s="195"/>
      <c r="N57" s="196"/>
      <c r="O57" s="196"/>
      <c r="P57" s="196"/>
      <c r="Q57" s="196"/>
      <c r="R57" s="196"/>
      <c r="S57" s="196"/>
      <c r="T57" s="196"/>
      <c r="U57" s="1061"/>
      <c r="V57" s="1650">
        <f>SUM('Other than Salary Income'!W22:'Other than Salary Income'!W31)</f>
        <v>0</v>
      </c>
      <c r="W57" s="1651"/>
      <c r="X57" s="1652"/>
      <c r="Y57" s="1023"/>
      <c r="Z57" s="171"/>
      <c r="AA57" s="997"/>
      <c r="AB57" s="997"/>
      <c r="AC57" s="1007"/>
      <c r="AD57" s="1007"/>
      <c r="AE57" s="1007"/>
      <c r="AF57" s="1007"/>
      <c r="AG57" s="1007"/>
      <c r="AH57" s="1007"/>
    </row>
    <row r="58" spans="3:34" ht="15" customHeight="1">
      <c r="C58" s="1065">
        <v>16</v>
      </c>
      <c r="D58" s="1208" t="s">
        <v>651</v>
      </c>
      <c r="E58" s="1207"/>
      <c r="F58" s="1207"/>
      <c r="G58" s="1207"/>
      <c r="H58" s="1207"/>
      <c r="I58" s="197"/>
      <c r="J58" s="1190"/>
      <c r="K58" s="1191"/>
      <c r="L58" s="1190"/>
      <c r="M58" s="1191"/>
      <c r="N58" s="1190"/>
      <c r="O58" s="1192" t="s">
        <v>652</v>
      </c>
      <c r="P58" s="1696">
        <v>12345</v>
      </c>
      <c r="Q58" s="1696"/>
      <c r="R58" s="1193" t="s">
        <v>65</v>
      </c>
      <c r="S58" s="1697">
        <v>44624</v>
      </c>
      <c r="T58" s="1696"/>
      <c r="U58" s="1698"/>
      <c r="V58" s="1699">
        <v>0</v>
      </c>
      <c r="W58" s="1700"/>
      <c r="X58" s="1701"/>
      <c r="Y58" s="1023"/>
      <c r="Z58" s="1209"/>
      <c r="AA58" s="997"/>
      <c r="AB58" s="997"/>
      <c r="AC58" s="1007"/>
      <c r="AD58" s="1007"/>
      <c r="AE58" s="1007"/>
      <c r="AF58" s="1007"/>
      <c r="AG58" s="1007"/>
      <c r="AH58" s="1007"/>
    </row>
    <row r="59" spans="3:34" ht="15" customHeight="1">
      <c r="C59" s="1065">
        <v>17</v>
      </c>
      <c r="D59" s="1207" t="s">
        <v>654</v>
      </c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669" t="str">
        <f>IF(AND(V59=0)," ",IF(V59&lt;0,"Refundable","Payble"))</f>
        <v>Payble</v>
      </c>
      <c r="S59" s="1669"/>
      <c r="T59" s="1669"/>
      <c r="U59" s="1670"/>
      <c r="V59" s="1650">
        <f>ROUND((V55)-(V53+V57+V58),-1)</f>
        <v>15900</v>
      </c>
      <c r="W59" s="1651"/>
      <c r="X59" s="1652"/>
      <c r="Y59" s="171"/>
      <c r="Z59" s="171" t="s">
        <v>442</v>
      </c>
      <c r="AA59" s="997"/>
      <c r="AB59" s="997"/>
      <c r="AC59" s="1007" t="s">
        <v>388</v>
      </c>
      <c r="AD59" s="1007">
        <v>250000</v>
      </c>
      <c r="AE59" s="1007"/>
      <c r="AF59" s="1007"/>
      <c r="AG59" s="1007" t="e">
        <f>IF(#REF!&gt;1000000,(((#REF!-1000000)*0.3)+112500),IF(#REF!&gt;500000,(((#REF!-500000)*0.2)+12500),IF(#REF!&gt;250000,((#REF!-250000)*0.05),0)))</f>
        <v>#REF!</v>
      </c>
      <c r="AH59" s="1007">
        <f>IF(AG31&gt;1000000,(((AG31-1000000)*0.3)+112500),IF(AG31&gt;500000,(((AG31-500000)*0.2)+12500),IF(AG31&gt;250000,((AG31-250000)*0.05),0)))</f>
        <v>0</v>
      </c>
    </row>
    <row r="60" spans="3:34" ht="7.5" customHeight="1">
      <c r="C60" s="198"/>
      <c r="D60" s="199"/>
      <c r="E60" s="199"/>
      <c r="F60" s="199"/>
      <c r="G60" s="199"/>
      <c r="H60" s="199"/>
      <c r="I60" s="199"/>
      <c r="J60" s="199"/>
      <c r="K60" s="199"/>
      <c r="L60" s="199"/>
      <c r="M60" s="199"/>
      <c r="N60" s="199"/>
      <c r="O60" s="199"/>
      <c r="P60" s="199"/>
      <c r="Q60" s="1210"/>
      <c r="R60" s="1210"/>
      <c r="S60" s="1210"/>
      <c r="T60" s="1210"/>
      <c r="U60" s="1210"/>
      <c r="V60" s="1210"/>
      <c r="W60" s="1210"/>
      <c r="X60" s="1210"/>
      <c r="Y60" s="171"/>
      <c r="Z60" s="171"/>
      <c r="AA60" s="997"/>
      <c r="AB60" s="997"/>
      <c r="AC60" s="1007" t="s">
        <v>387</v>
      </c>
      <c r="AD60" s="1007">
        <v>300000</v>
      </c>
      <c r="AE60" s="1007"/>
      <c r="AF60" s="1007"/>
      <c r="AG60" s="1007" t="e">
        <f>IF(#REF!&gt;1000000,(((#REF!-1000000)*0.3)+110000),IF(#REF!&gt;500000,(((#REF!-500000)*0.2)+10000),IF(#REF!&gt;300000,((#REF!-300000)*0.1),0)))</f>
        <v>#REF!</v>
      </c>
      <c r="AH60" s="1007">
        <f>IF(AG31&gt;1000000,(((AG31-1000000)*0.3)+110000),IF(AG31&gt;500000,(((AG31-500000)*0.2)+10000),IF(AG31&gt;300000,((AG31-300000)*0.05),0)))</f>
        <v>0</v>
      </c>
    </row>
    <row r="61" spans="3:34" ht="15" customHeight="1">
      <c r="C61" s="200"/>
      <c r="D61" s="1000" t="s">
        <v>64</v>
      </c>
      <c r="E61" s="1073" t="s">
        <v>159</v>
      </c>
      <c r="F61" s="1000" t="str">
        <f>'Master Deails'!B26</f>
        <v>AHWA</v>
      </c>
      <c r="G61" s="1000"/>
      <c r="H61" s="1000"/>
      <c r="I61" s="1000"/>
      <c r="J61" s="1000"/>
      <c r="K61" s="1000"/>
      <c r="L61" s="1000"/>
      <c r="M61" s="1000"/>
      <c r="N61" s="1000"/>
      <c r="O61" s="1000"/>
      <c r="P61" s="1000"/>
      <c r="Q61" s="1211"/>
      <c r="R61" s="1212"/>
      <c r="S61" s="1211"/>
      <c r="T61" s="1211"/>
      <c r="U61" s="1211"/>
      <c r="V61" s="1980"/>
      <c r="W61" s="1981"/>
      <c r="X61" s="1981"/>
      <c r="Y61" s="1000"/>
      <c r="Z61" s="171"/>
      <c r="AA61" s="997"/>
      <c r="AB61" s="997"/>
      <c r="AC61" s="997"/>
      <c r="AD61" s="997"/>
      <c r="AE61" s="997"/>
      <c r="AF61" s="997"/>
      <c r="AG61" s="997"/>
      <c r="AH61" s="997"/>
    </row>
    <row r="62" spans="3:34" ht="15" customHeight="1">
      <c r="C62" s="200"/>
      <c r="D62" s="1000" t="s">
        <v>65</v>
      </c>
      <c r="E62" s="1073" t="s">
        <v>160</v>
      </c>
      <c r="F62" s="1688">
        <f ca="1">TODAY()</f>
        <v>44729</v>
      </c>
      <c r="G62" s="1688"/>
      <c r="H62" s="1688"/>
      <c r="I62" s="1688"/>
      <c r="J62" s="1000"/>
      <c r="K62" s="1000"/>
      <c r="L62" s="1000"/>
      <c r="M62" s="1000"/>
      <c r="N62" s="1000"/>
      <c r="O62" s="1000"/>
      <c r="P62" s="1000"/>
      <c r="Q62" s="1211"/>
      <c r="R62" s="1211"/>
      <c r="S62" s="1211"/>
      <c r="T62" s="1211"/>
      <c r="U62" s="1211"/>
      <c r="V62" s="1980"/>
      <c r="W62" s="1981"/>
      <c r="X62" s="1981"/>
      <c r="Y62" s="1000"/>
      <c r="Z62" s="171"/>
      <c r="AA62" s="997"/>
      <c r="AB62" s="997"/>
      <c r="AC62" s="1007" t="s">
        <v>386</v>
      </c>
      <c r="AD62" s="1007">
        <v>500000</v>
      </c>
      <c r="AE62" s="997"/>
      <c r="AF62" s="997"/>
      <c r="AG62" s="997"/>
      <c r="AH62" s="997"/>
    </row>
    <row r="63" spans="3:34" ht="5.25" customHeight="1">
      <c r="C63" s="200"/>
      <c r="D63" s="1000"/>
      <c r="E63" s="1000"/>
      <c r="F63" s="1687"/>
      <c r="G63" s="1687"/>
      <c r="H63" s="1687"/>
      <c r="I63" s="1687"/>
      <c r="J63" s="1000"/>
      <c r="K63" s="1000"/>
      <c r="L63" s="1000"/>
      <c r="M63" s="1000"/>
      <c r="N63" s="1000"/>
      <c r="O63" s="1000"/>
      <c r="P63" s="1000"/>
      <c r="Q63" s="1000"/>
      <c r="R63" s="1000"/>
      <c r="S63" s="1000"/>
      <c r="T63" s="1000"/>
      <c r="U63" s="1074"/>
      <c r="V63" s="1074"/>
      <c r="W63" s="1074"/>
      <c r="X63" s="1074"/>
      <c r="Y63" s="1000"/>
      <c r="Z63" s="171"/>
      <c r="AA63" s="997"/>
      <c r="AB63" s="997"/>
      <c r="AC63" s="997"/>
      <c r="AD63" s="997"/>
      <c r="AE63" s="1007"/>
      <c r="AF63" s="1007"/>
      <c r="AG63" s="1007" t="e">
        <f>IF(#REF!&gt;1000000,(((#REF!-1000000)*0.3)+100000),IF(#REF!&gt;500000,(((#REF!-500000)*0.2)),0))</f>
        <v>#REF!</v>
      </c>
      <c r="AH63" s="1007">
        <f>IF(AG31&gt;1000000,(((AG31-1000000)*0.3)+100000),IF(AG31&gt;500000,(((AG31-500000)*0.2)),0))</f>
        <v>0</v>
      </c>
    </row>
    <row r="64" spans="3:34" ht="15" customHeight="1">
      <c r="C64" s="200"/>
      <c r="D64" s="1075" t="s">
        <v>78</v>
      </c>
      <c r="E64" s="1075"/>
      <c r="F64" s="1075"/>
      <c r="G64" s="1689"/>
      <c r="H64" s="1689"/>
      <c r="I64" s="1689"/>
      <c r="J64" s="1689"/>
      <c r="K64" s="1689"/>
      <c r="L64" s="1075"/>
      <c r="M64" s="1075"/>
      <c r="N64" s="1075"/>
      <c r="O64" s="1075"/>
      <c r="P64" s="1075"/>
      <c r="Q64" s="1075"/>
      <c r="R64" s="1076" t="str">
        <f>'Master Deails'!H24</f>
        <v xml:space="preserve">Account Officer </v>
      </c>
      <c r="S64" s="1000"/>
      <c r="T64" s="1000"/>
      <c r="U64" s="1074"/>
      <c r="V64" s="1074"/>
      <c r="W64" s="1074"/>
      <c r="X64" s="1074"/>
      <c r="Y64" s="1000"/>
      <c r="Z64" s="171"/>
      <c r="AA64" s="997"/>
      <c r="AB64" s="997"/>
      <c r="AC64" s="1007"/>
      <c r="AD64" s="1007"/>
      <c r="AE64" s="1007"/>
      <c r="AF64" s="1007"/>
      <c r="AG64" s="1007"/>
      <c r="AH64" s="1007"/>
    </row>
    <row r="65" spans="3:34" ht="15" customHeight="1">
      <c r="C65" s="200"/>
      <c r="D65" s="1075" t="s">
        <v>63</v>
      </c>
      <c r="E65" s="1075"/>
      <c r="F65" s="1662" t="str">
        <f>'Master Deails'!A7</f>
        <v>SHRI K J PATEL</v>
      </c>
      <c r="G65" s="1662"/>
      <c r="H65" s="1662"/>
      <c r="I65" s="1662"/>
      <c r="J65" s="1662"/>
      <c r="K65" s="1662"/>
      <c r="L65" s="1075"/>
      <c r="M65" s="1075"/>
      <c r="N65" s="1075"/>
      <c r="O65" s="1075"/>
      <c r="P65" s="1075"/>
      <c r="Q65" s="1075"/>
      <c r="R65" s="1076" t="str">
        <f>'Master Deails'!H25</f>
        <v>Dangs District Panchayat Ahwa</v>
      </c>
      <c r="S65" s="1000"/>
      <c r="T65" s="1000"/>
      <c r="U65" s="1074"/>
      <c r="V65" s="1074"/>
      <c r="W65" s="1074"/>
      <c r="X65" s="1074"/>
      <c r="Y65" s="1000"/>
      <c r="Z65" s="171"/>
      <c r="AA65" s="997"/>
      <c r="AB65" s="997"/>
      <c r="AC65" s="1007"/>
      <c r="AD65" s="1007"/>
      <c r="AE65" s="1024" t="e">
        <f>IF(#REF!="GENERAL",(AD31-AD55),IF(#REF!="GENERAL",AD31-AD59,IF(#REF!="SENIOR CITIZEN",AD31-AD60,IF(#REF!="Very Senior Citizen &gt; 80 years",AD31-AD62,"Please Select Status"))))</f>
        <v>#REF!</v>
      </c>
      <c r="AF65" s="1007"/>
      <c r="AG65" s="1007"/>
      <c r="AH65" s="1007"/>
    </row>
    <row r="66" spans="3:34" ht="15" customHeight="1">
      <c r="C66" s="200"/>
      <c r="D66" s="1075" t="s">
        <v>93</v>
      </c>
      <c r="E66" s="1075"/>
      <c r="F66" s="1075"/>
      <c r="G66" s="1686" t="str">
        <f>'Master Deails'!A18</f>
        <v>RETIRED PS 2 DDO DANGS</v>
      </c>
      <c r="H66" s="1686"/>
      <c r="I66" s="1686"/>
      <c r="J66" s="1686"/>
      <c r="K66" s="1686"/>
      <c r="L66" s="1075"/>
      <c r="M66" s="1075"/>
      <c r="N66" s="1075"/>
      <c r="O66" s="1075"/>
      <c r="P66" s="1075"/>
      <c r="Q66" s="1075"/>
      <c r="R66" s="1077" t="str">
        <f>'Master Deails'!H26</f>
        <v>Ahwa</v>
      </c>
      <c r="S66" s="1000"/>
      <c r="T66" s="1000"/>
      <c r="U66" s="1074"/>
      <c r="V66" s="1074"/>
      <c r="W66" s="1074"/>
      <c r="X66" s="1074"/>
      <c r="Y66" s="1000"/>
      <c r="Z66" s="171"/>
      <c r="AA66" s="997"/>
      <c r="AB66" s="997"/>
      <c r="AC66" s="1007"/>
      <c r="AD66" s="1007"/>
      <c r="AE66" s="1007"/>
      <c r="AF66" s="1007"/>
      <c r="AG66" s="1007"/>
      <c r="AH66" s="1007"/>
    </row>
    <row r="67" spans="3:34" ht="6" customHeight="1">
      <c r="C67" s="200"/>
      <c r="D67" s="1000"/>
      <c r="E67" s="1000"/>
      <c r="F67" s="1000"/>
      <c r="G67" s="1000"/>
      <c r="H67" s="1000"/>
      <c r="I67" s="1000"/>
      <c r="J67" s="1000"/>
      <c r="K67" s="1000"/>
      <c r="L67" s="1000"/>
      <c r="M67" s="1000"/>
      <c r="N67" s="1000"/>
      <c r="O67" s="1000"/>
      <c r="P67" s="1000"/>
      <c r="Q67" s="1000"/>
      <c r="R67" s="557"/>
      <c r="S67" s="1000"/>
      <c r="T67" s="1000"/>
      <c r="U67" s="1074"/>
      <c r="V67" s="1074"/>
      <c r="W67" s="1074"/>
      <c r="X67" s="1074"/>
      <c r="Y67" s="557"/>
      <c r="AC67" s="426"/>
      <c r="AD67" s="426"/>
      <c r="AE67" s="426"/>
      <c r="AF67" s="426"/>
      <c r="AG67" s="426"/>
      <c r="AH67" s="426"/>
    </row>
    <row r="68" spans="3:34" hidden="1">
      <c r="C68" s="200"/>
      <c r="J68" s="171"/>
      <c r="K68" s="171"/>
      <c r="L68" s="171"/>
      <c r="M68" s="171"/>
      <c r="N68" s="171"/>
      <c r="O68" s="171"/>
      <c r="P68" s="171"/>
      <c r="Q68" s="171"/>
      <c r="R68" s="200"/>
      <c r="S68" s="171"/>
      <c r="T68" s="171"/>
      <c r="U68" s="199"/>
      <c r="V68" s="199"/>
      <c r="W68" s="199"/>
      <c r="X68" s="199"/>
    </row>
    <row r="69" spans="3:34" hidden="1">
      <c r="C69" s="200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99"/>
      <c r="V69" s="199"/>
      <c r="W69" s="199"/>
      <c r="X69" s="199"/>
    </row>
    <row r="70" spans="3:34" ht="19.5" hidden="1" customHeight="1">
      <c r="C70" s="199"/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199"/>
      <c r="X70" s="199"/>
    </row>
    <row r="71" spans="3:34" hidden="1">
      <c r="C71" s="199"/>
      <c r="D71" s="199"/>
      <c r="E71" s="199"/>
      <c r="F71" s="199"/>
      <c r="G71" s="199"/>
      <c r="H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</row>
    <row r="72" spans="3:34" hidden="1">
      <c r="C72" s="199"/>
      <c r="D72" s="199"/>
      <c r="E72" s="199"/>
      <c r="F72" s="199"/>
      <c r="G72" s="199"/>
      <c r="H72" s="199"/>
      <c r="I72" s="199"/>
      <c r="J72" s="199"/>
      <c r="K72" s="199"/>
      <c r="L72" s="199"/>
      <c r="M72" s="199"/>
      <c r="N72" s="199"/>
      <c r="O72" s="199"/>
      <c r="P72" s="199"/>
      <c r="Q72" s="199"/>
      <c r="R72" s="199"/>
      <c r="S72" s="199"/>
      <c r="T72" s="199"/>
      <c r="U72" s="199"/>
      <c r="V72" s="199"/>
      <c r="W72" s="199"/>
      <c r="X72" s="199"/>
    </row>
    <row r="73" spans="3:34" hidden="1">
      <c r="C73" s="199"/>
      <c r="D73" s="199"/>
      <c r="E73" s="199"/>
      <c r="F73" s="199"/>
      <c r="G73" s="199"/>
      <c r="H73" s="199"/>
      <c r="I73" s="199"/>
      <c r="J73" s="199"/>
      <c r="K73" s="199"/>
      <c r="L73" s="199"/>
      <c r="M73" s="199"/>
      <c r="N73" s="199"/>
      <c r="O73" s="199"/>
      <c r="P73" s="199"/>
      <c r="Q73" s="199"/>
      <c r="R73" s="199"/>
      <c r="S73" s="199"/>
      <c r="T73" s="199"/>
      <c r="U73" s="199"/>
      <c r="V73" s="199"/>
      <c r="W73" s="199"/>
      <c r="X73" s="199"/>
    </row>
    <row r="74" spans="3:34" hidden="1"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</row>
    <row r="75" spans="3:34" hidden="1"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</row>
    <row r="76" spans="3:34" hidden="1">
      <c r="C76" s="199"/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  <c r="X76" s="199"/>
    </row>
    <row r="77" spans="3:34" hidden="1">
      <c r="C77" s="199"/>
      <c r="D77" s="199"/>
      <c r="E77" s="199"/>
      <c r="F77" s="199"/>
      <c r="G77" s="199"/>
      <c r="H77" s="199"/>
      <c r="I77" s="199"/>
      <c r="J77" s="199"/>
      <c r="K77" s="199"/>
      <c r="L77" s="199"/>
      <c r="M77" s="199"/>
      <c r="N77" s="199"/>
      <c r="O77" s="199"/>
      <c r="P77" s="199"/>
      <c r="Q77" s="199"/>
      <c r="R77" s="199"/>
      <c r="S77" s="199"/>
      <c r="T77" s="199"/>
      <c r="U77" s="199"/>
      <c r="V77" s="199"/>
      <c r="W77" s="199"/>
      <c r="X77" s="199"/>
    </row>
    <row r="78" spans="3:34" hidden="1">
      <c r="C78" s="199"/>
      <c r="D78" s="199"/>
      <c r="E78" s="199"/>
      <c r="F78" s="199"/>
      <c r="G78" s="199"/>
      <c r="H78" s="199"/>
      <c r="I78" s="199"/>
      <c r="J78" s="199"/>
      <c r="K78" s="199"/>
      <c r="L78" s="199"/>
      <c r="M78" s="199"/>
      <c r="N78" s="199"/>
      <c r="O78" s="199"/>
      <c r="P78" s="199"/>
      <c r="Q78" s="199"/>
      <c r="R78" s="199"/>
      <c r="S78" s="199"/>
      <c r="T78" s="199"/>
      <c r="U78" s="199"/>
      <c r="V78" s="199"/>
      <c r="W78" s="199"/>
      <c r="X78" s="199"/>
    </row>
    <row r="79" spans="3:34" hidden="1">
      <c r="C79" s="199"/>
      <c r="D79" s="199"/>
      <c r="E79" s="199"/>
      <c r="F79" s="199"/>
      <c r="G79" s="199"/>
      <c r="H79" s="199"/>
      <c r="I79" s="199"/>
      <c r="J79" s="199"/>
      <c r="K79" s="199"/>
      <c r="L79" s="199"/>
      <c r="M79" s="199"/>
      <c r="N79" s="199"/>
      <c r="O79" s="199"/>
      <c r="P79" s="199"/>
      <c r="Q79" s="199"/>
      <c r="R79" s="199"/>
      <c r="S79" s="199"/>
      <c r="T79" s="199"/>
      <c r="U79" s="199"/>
      <c r="V79" s="199"/>
      <c r="W79" s="199"/>
      <c r="X79" s="199"/>
    </row>
    <row r="80" spans="3:34" hidden="1">
      <c r="C80" s="199"/>
      <c r="D80" s="199"/>
      <c r="E80" s="199"/>
      <c r="F80" s="199"/>
      <c r="G80" s="199"/>
      <c r="H80" s="199"/>
      <c r="I80" s="199"/>
      <c r="J80" s="199"/>
      <c r="K80" s="199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  <c r="X80" s="199"/>
    </row>
    <row r="81" spans="3:24" hidden="1">
      <c r="C81" s="199"/>
      <c r="D81" s="199"/>
      <c r="E81" s="199"/>
      <c r="F81" s="199"/>
      <c r="G81" s="199"/>
      <c r="H81" s="199"/>
      <c r="I81" s="199"/>
      <c r="J81" s="199"/>
      <c r="K81" s="199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  <c r="X81" s="199"/>
    </row>
    <row r="82" spans="3:24" hidden="1">
      <c r="C82" s="199"/>
      <c r="D82" s="199"/>
      <c r="E82" s="199"/>
      <c r="F82" s="199"/>
      <c r="G82" s="199"/>
      <c r="H82" s="199"/>
      <c r="I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  <c r="X82" s="199"/>
    </row>
    <row r="83" spans="3:24" hidden="1">
      <c r="C83" s="199"/>
      <c r="D83" s="199"/>
      <c r="E83" s="199"/>
      <c r="F83" s="199"/>
      <c r="G83" s="199"/>
      <c r="H83" s="199"/>
      <c r="I83" s="199"/>
      <c r="J83" s="199"/>
      <c r="K83" s="199"/>
      <c r="L83" s="199"/>
      <c r="M83" s="199"/>
      <c r="N83" s="199"/>
      <c r="O83" s="199"/>
      <c r="P83" s="199"/>
      <c r="Q83" s="199"/>
      <c r="R83" s="199"/>
      <c r="S83" s="199"/>
      <c r="T83" s="199"/>
      <c r="U83" s="199"/>
      <c r="V83" s="199"/>
      <c r="W83" s="199"/>
      <c r="X83" s="199"/>
    </row>
    <row r="84" spans="3:24" hidden="1">
      <c r="C84" s="199"/>
      <c r="D84" s="199"/>
      <c r="E84" s="199"/>
      <c r="F84" s="199"/>
      <c r="G84" s="199"/>
      <c r="H84" s="199"/>
      <c r="I84" s="199"/>
      <c r="J84" s="199"/>
      <c r="K84" s="199"/>
      <c r="L84" s="199"/>
      <c r="M84" s="199"/>
      <c r="N84" s="199"/>
      <c r="O84" s="199"/>
      <c r="P84" s="199"/>
      <c r="Q84" s="199"/>
      <c r="R84" s="199"/>
      <c r="S84" s="199"/>
      <c r="T84" s="199"/>
      <c r="U84" s="199"/>
      <c r="V84" s="199"/>
      <c r="W84" s="199"/>
      <c r="X84" s="199"/>
    </row>
    <row r="85" spans="3:24" hidden="1">
      <c r="C85" s="199"/>
      <c r="D85" s="199"/>
      <c r="E85" s="199"/>
      <c r="F85" s="199"/>
      <c r="G85" s="199"/>
      <c r="H85" s="199"/>
      <c r="I85" s="199"/>
      <c r="J85" s="199"/>
      <c r="K85" s="199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  <c r="X85" s="199"/>
    </row>
    <row r="86" spans="3:24" hidden="1">
      <c r="C86" s="199"/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</row>
    <row r="87" spans="3:24" hidden="1">
      <c r="C87" s="199"/>
      <c r="D87" s="199"/>
      <c r="E87" s="199"/>
      <c r="F87" s="199"/>
      <c r="G87" s="199"/>
      <c r="H87" s="199"/>
      <c r="I87" s="199"/>
      <c r="J87" s="199"/>
      <c r="K87" s="199"/>
      <c r="L87" s="199"/>
      <c r="M87" s="199"/>
      <c r="N87" s="199"/>
      <c r="O87" s="199"/>
      <c r="P87" s="199"/>
      <c r="Q87" s="199"/>
      <c r="R87" s="199"/>
      <c r="S87" s="199"/>
      <c r="T87" s="199"/>
      <c r="U87" s="199"/>
      <c r="V87" s="199"/>
      <c r="W87" s="199"/>
      <c r="X87" s="199"/>
    </row>
    <row r="88" spans="3:24" hidden="1">
      <c r="C88" s="199"/>
      <c r="D88" s="199"/>
      <c r="E88" s="199"/>
      <c r="F88" s="199"/>
      <c r="G88" s="199"/>
      <c r="H88" s="199"/>
      <c r="I88" s="199"/>
      <c r="J88" s="199"/>
      <c r="K88" s="199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  <c r="W88" s="199"/>
      <c r="X88" s="199"/>
    </row>
    <row r="89" spans="3:24" hidden="1">
      <c r="C89" s="199"/>
      <c r="D89" s="199"/>
      <c r="E89" s="199"/>
      <c r="F89" s="199"/>
      <c r="G89" s="199"/>
      <c r="H89" s="199"/>
      <c r="I89" s="199"/>
      <c r="J89" s="199"/>
      <c r="K89" s="199"/>
      <c r="L89" s="199"/>
      <c r="M89" s="199"/>
      <c r="N89" s="199"/>
      <c r="O89" s="199"/>
      <c r="P89" s="199"/>
      <c r="Q89" s="199"/>
      <c r="R89" s="199"/>
      <c r="S89" s="199"/>
      <c r="T89" s="199"/>
      <c r="U89" s="199"/>
      <c r="V89" s="199"/>
      <c r="W89" s="199"/>
      <c r="X89" s="199"/>
    </row>
    <row r="90" spans="3:24" hidden="1">
      <c r="C90" s="199"/>
      <c r="D90" s="199"/>
      <c r="E90" s="199"/>
      <c r="F90" s="199"/>
      <c r="G90" s="199"/>
      <c r="H90" s="199"/>
      <c r="I90" s="199"/>
      <c r="J90" s="199"/>
      <c r="K90" s="199"/>
      <c r="L90" s="199"/>
      <c r="M90" s="199"/>
      <c r="N90" s="199"/>
      <c r="O90" s="199"/>
      <c r="P90" s="199"/>
      <c r="Q90" s="199"/>
      <c r="R90" s="199"/>
      <c r="S90" s="199"/>
      <c r="T90" s="199"/>
      <c r="U90" s="199"/>
      <c r="V90" s="199"/>
      <c r="W90" s="199"/>
      <c r="X90" s="199"/>
    </row>
    <row r="91" spans="3:24" hidden="1">
      <c r="C91" s="199"/>
      <c r="D91" s="199"/>
      <c r="E91" s="199"/>
      <c r="F91" s="199"/>
      <c r="G91" s="199"/>
      <c r="H91" s="199"/>
      <c r="I91" s="199"/>
      <c r="J91" s="199"/>
      <c r="K91" s="199"/>
      <c r="L91" s="199"/>
      <c r="M91" s="199"/>
      <c r="N91" s="199"/>
      <c r="O91" s="199"/>
      <c r="P91" s="199"/>
      <c r="Q91" s="199"/>
      <c r="R91" s="199"/>
      <c r="S91" s="199"/>
      <c r="T91" s="199"/>
      <c r="U91" s="199"/>
      <c r="V91" s="199"/>
      <c r="W91" s="199"/>
      <c r="X91" s="199"/>
    </row>
    <row r="92" spans="3:24" hidden="1">
      <c r="C92" s="199"/>
      <c r="D92" s="199"/>
      <c r="E92" s="199"/>
      <c r="F92" s="199"/>
      <c r="G92" s="199"/>
      <c r="H92" s="199"/>
      <c r="I92" s="199"/>
      <c r="J92" s="199"/>
      <c r="K92" s="199"/>
      <c r="L92" s="199"/>
      <c r="M92" s="199"/>
      <c r="N92" s="199"/>
      <c r="O92" s="199"/>
      <c r="P92" s="199"/>
      <c r="Q92" s="199"/>
      <c r="R92" s="199"/>
      <c r="S92" s="199"/>
      <c r="T92" s="199"/>
      <c r="U92" s="199"/>
      <c r="V92" s="199"/>
      <c r="W92" s="199"/>
      <c r="X92" s="199"/>
    </row>
    <row r="93" spans="3:24" hidden="1">
      <c r="C93" s="199"/>
      <c r="D93" s="199"/>
      <c r="E93" s="199"/>
      <c r="F93" s="199"/>
      <c r="G93" s="199"/>
      <c r="H93" s="199"/>
      <c r="I93" s="199"/>
      <c r="J93" s="199"/>
      <c r="K93" s="199"/>
      <c r="L93" s="199"/>
      <c r="M93" s="199"/>
      <c r="N93" s="199"/>
      <c r="O93" s="199"/>
      <c r="P93" s="199"/>
      <c r="Q93" s="199"/>
      <c r="R93" s="199"/>
      <c r="S93" s="199"/>
      <c r="T93" s="199"/>
      <c r="U93" s="199"/>
      <c r="V93" s="199"/>
      <c r="W93" s="199"/>
      <c r="X93" s="199"/>
    </row>
    <row r="94" spans="3:24" hidden="1">
      <c r="C94" s="199"/>
      <c r="D94" s="199"/>
      <c r="E94" s="199"/>
      <c r="F94" s="199"/>
      <c r="G94" s="199"/>
      <c r="H94" s="199"/>
      <c r="I94" s="199"/>
      <c r="J94" s="199"/>
      <c r="K94" s="199"/>
      <c r="L94" s="199"/>
      <c r="M94" s="199"/>
      <c r="N94" s="199"/>
      <c r="O94" s="199"/>
      <c r="P94" s="199"/>
      <c r="Q94" s="199"/>
      <c r="R94" s="199"/>
      <c r="S94" s="199"/>
      <c r="T94" s="199"/>
      <c r="U94" s="199"/>
      <c r="V94" s="199"/>
      <c r="W94" s="199"/>
      <c r="X94" s="199"/>
    </row>
    <row r="95" spans="3:24" hidden="1">
      <c r="C95" s="199"/>
      <c r="D95" s="199"/>
      <c r="E95" s="199"/>
      <c r="F95" s="199"/>
      <c r="G95" s="199"/>
      <c r="H95" s="199"/>
      <c r="I95" s="199"/>
      <c r="J95" s="199"/>
      <c r="K95" s="199"/>
      <c r="L95" s="199"/>
      <c r="M95" s="199"/>
      <c r="N95" s="199"/>
      <c r="O95" s="199"/>
      <c r="P95" s="199"/>
      <c r="Q95" s="199"/>
      <c r="R95" s="199"/>
      <c r="S95" s="199"/>
      <c r="T95" s="199"/>
      <c r="U95" s="199"/>
      <c r="V95" s="199"/>
      <c r="W95" s="199"/>
      <c r="X95" s="199"/>
    </row>
    <row r="96" spans="3:24" hidden="1">
      <c r="C96" s="199"/>
      <c r="D96" s="199"/>
      <c r="E96" s="199"/>
      <c r="F96" s="199"/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199"/>
    </row>
    <row r="97" spans="3:24" hidden="1">
      <c r="C97" s="199"/>
      <c r="D97" s="199"/>
      <c r="E97" s="199"/>
      <c r="F97" s="199"/>
      <c r="G97" s="199"/>
      <c r="H97" s="199"/>
      <c r="I97" s="199"/>
      <c r="J97" s="199"/>
      <c r="K97" s="199"/>
      <c r="L97" s="199"/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  <c r="X97" s="199"/>
    </row>
    <row r="98" spans="3:24" hidden="1"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</row>
    <row r="99" spans="3:24" hidden="1"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</row>
    <row r="100" spans="3:24" hidden="1"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</row>
    <row r="101" spans="3:24" hidden="1"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</row>
    <row r="102" spans="3:24" hidden="1">
      <c r="C102" s="199"/>
      <c r="D102" s="199"/>
      <c r="E102" s="199"/>
      <c r="F102" s="199"/>
      <c r="G102" s="199"/>
      <c r="H102" s="199"/>
      <c r="I102" s="199"/>
      <c r="J102" s="199"/>
      <c r="K102" s="199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  <c r="X102" s="199"/>
    </row>
    <row r="103" spans="3:24" hidden="1"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</row>
    <row r="104" spans="3:24" hidden="1">
      <c r="C104" s="199"/>
      <c r="D104" s="199"/>
      <c r="E104" s="199"/>
      <c r="F104" s="199"/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  <c r="X104" s="199"/>
    </row>
    <row r="105" spans="3:24" hidden="1">
      <c r="C105" s="199"/>
      <c r="D105" s="199"/>
      <c r="E105" s="199"/>
      <c r="F105" s="199"/>
      <c r="G105" s="199"/>
      <c r="H105" s="199"/>
      <c r="I105" s="199"/>
      <c r="J105" s="199"/>
      <c r="K105" s="199"/>
      <c r="L105" s="199"/>
      <c r="M105" s="199"/>
      <c r="N105" s="199"/>
      <c r="O105" s="199"/>
      <c r="P105" s="199"/>
      <c r="Q105" s="199"/>
      <c r="R105" s="199"/>
      <c r="S105" s="199"/>
      <c r="T105" s="199"/>
      <c r="U105" s="199"/>
      <c r="V105" s="199"/>
      <c r="W105" s="199"/>
      <c r="X105" s="199"/>
    </row>
    <row r="106" spans="3:24" hidden="1">
      <c r="C106" s="199"/>
      <c r="D106" s="199"/>
      <c r="E106" s="199"/>
      <c r="F106" s="199"/>
      <c r="G106" s="199"/>
      <c r="H106" s="199"/>
      <c r="I106" s="199"/>
      <c r="J106" s="199"/>
      <c r="K106" s="199"/>
      <c r="L106" s="199"/>
      <c r="M106" s="199"/>
      <c r="N106" s="199"/>
      <c r="O106" s="199"/>
      <c r="P106" s="199"/>
      <c r="Q106" s="199"/>
      <c r="R106" s="199"/>
      <c r="S106" s="199"/>
      <c r="T106" s="199"/>
      <c r="U106" s="199"/>
      <c r="V106" s="199"/>
      <c r="W106" s="199"/>
      <c r="X106" s="199"/>
    </row>
    <row r="107" spans="3:24" hidden="1">
      <c r="C107" s="199"/>
      <c r="D107" s="199"/>
      <c r="E107" s="199"/>
      <c r="F107" s="199"/>
      <c r="G107" s="199"/>
      <c r="H107" s="199"/>
      <c r="I107" s="199"/>
      <c r="J107" s="199"/>
      <c r="K107" s="199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  <c r="X107" s="199"/>
    </row>
    <row r="108" spans="3:24" hidden="1">
      <c r="C108" s="199"/>
      <c r="D108" s="199"/>
      <c r="E108" s="199"/>
      <c r="F108" s="199"/>
      <c r="G108" s="199"/>
      <c r="H108" s="199"/>
      <c r="I108" s="199"/>
      <c r="J108" s="199"/>
      <c r="K108" s="199"/>
      <c r="L108" s="199"/>
      <c r="M108" s="199"/>
      <c r="N108" s="199"/>
      <c r="O108" s="199"/>
      <c r="P108" s="199"/>
      <c r="Q108" s="199"/>
      <c r="R108" s="199"/>
      <c r="S108" s="199"/>
      <c r="T108" s="199"/>
      <c r="U108" s="199"/>
      <c r="V108" s="199"/>
      <c r="W108" s="199"/>
      <c r="X108" s="199"/>
    </row>
    <row r="109" spans="3:24" hidden="1">
      <c r="C109" s="199"/>
      <c r="D109" s="199"/>
      <c r="E109" s="199"/>
      <c r="F109" s="199"/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  <c r="X109" s="199"/>
    </row>
    <row r="110" spans="3:24" hidden="1">
      <c r="C110" s="199"/>
      <c r="D110" s="199"/>
      <c r="E110" s="199"/>
      <c r="F110" s="199"/>
      <c r="G110" s="199"/>
      <c r="H110" s="199"/>
      <c r="I110" s="199"/>
      <c r="J110" s="199"/>
      <c r="K110" s="199"/>
      <c r="L110" s="199"/>
      <c r="M110" s="199"/>
      <c r="N110" s="199"/>
      <c r="O110" s="199"/>
      <c r="P110" s="199"/>
      <c r="Q110" s="199"/>
      <c r="R110" s="199"/>
      <c r="S110" s="199"/>
      <c r="T110" s="199"/>
      <c r="U110" s="199"/>
      <c r="V110" s="199"/>
      <c r="W110" s="199"/>
      <c r="X110" s="199"/>
    </row>
    <row r="111" spans="3:24" hidden="1"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</row>
    <row r="112" spans="3:24" hidden="1">
      <c r="C112" s="199"/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</row>
    <row r="113" spans="3:24" hidden="1">
      <c r="C113" s="199"/>
      <c r="D113" s="199"/>
      <c r="E113" s="199"/>
      <c r="F113" s="199"/>
      <c r="G113" s="199"/>
      <c r="H113" s="199"/>
      <c r="I113" s="199"/>
      <c r="J113" s="199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9"/>
    </row>
    <row r="114" spans="3:24" hidden="1"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</row>
    <row r="115" spans="3:24" hidden="1"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</row>
    <row r="116" spans="3:24" hidden="1"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</row>
    <row r="117" spans="3:24" hidden="1"/>
    <row r="118" spans="3:24" hidden="1"/>
    <row r="119" spans="3:24" hidden="1"/>
    <row r="120" spans="3:24" ht="1.5" hidden="1" customHeight="1"/>
    <row r="121" spans="3:24" hidden="1"/>
    <row r="122" spans="3:24" ht="7.5" hidden="1" customHeight="1"/>
    <row r="123" spans="3:24" hidden="1"/>
    <row r="124" spans="3:24" hidden="1"/>
    <row r="125" spans="3:24" hidden="1"/>
    <row r="126" spans="3:24" hidden="1"/>
    <row r="127" spans="3:24" hidden="1"/>
    <row r="128" spans="3:24" hidden="1"/>
    <row r="129" hidden="1"/>
    <row r="130" hidden="1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  <row r="65537"/>
  </sheetData>
  <sheetProtection password="CCFF" sheet="1" objects="1" scenarios="1" formatCells="0" formatColumns="0" formatRows="0"/>
  <mergeCells count="160">
    <mergeCell ref="P20:R20"/>
    <mergeCell ref="S22:U22"/>
    <mergeCell ref="S21:U21"/>
    <mergeCell ref="S23:U23"/>
    <mergeCell ref="S18:U18"/>
    <mergeCell ref="V17:X17"/>
    <mergeCell ref="S17:U17"/>
    <mergeCell ref="H17:R17"/>
    <mergeCell ref="V19:X19"/>
    <mergeCell ref="V18:X18"/>
    <mergeCell ref="K18:R18"/>
    <mergeCell ref="E23:J23"/>
    <mergeCell ref="K21:O21"/>
    <mergeCell ref="K22:O22"/>
    <mergeCell ref="E22:J22"/>
    <mergeCell ref="K23:O23"/>
    <mergeCell ref="H18:J18"/>
    <mergeCell ref="D32:U32"/>
    <mergeCell ref="E21:J21"/>
    <mergeCell ref="S19:U19"/>
    <mergeCell ref="D38:K38"/>
    <mergeCell ref="D36:K36"/>
    <mergeCell ref="T34:U34"/>
    <mergeCell ref="N35:O35"/>
    <mergeCell ref="L35:M35"/>
    <mergeCell ref="S26:U26"/>
    <mergeCell ref="S25:U25"/>
    <mergeCell ref="D27:U27"/>
    <mergeCell ref="N37:O37"/>
    <mergeCell ref="R36:S36"/>
    <mergeCell ref="R37:S37"/>
    <mergeCell ref="R38:S38"/>
    <mergeCell ref="D37:K37"/>
    <mergeCell ref="T35:U35"/>
    <mergeCell ref="D33:U33"/>
    <mergeCell ref="E19:R19"/>
    <mergeCell ref="N34:P34"/>
    <mergeCell ref="R34:S34"/>
    <mergeCell ref="D34:K34"/>
    <mergeCell ref="D35:K35"/>
    <mergeCell ref="E20:J20"/>
    <mergeCell ref="B1:I1"/>
    <mergeCell ref="K1:X1"/>
    <mergeCell ref="W4:X4"/>
    <mergeCell ref="U4:V4"/>
    <mergeCell ref="U11:X11"/>
    <mergeCell ref="V16:X16"/>
    <mergeCell ref="S15:U15"/>
    <mergeCell ref="C7:F7"/>
    <mergeCell ref="E16:R16"/>
    <mergeCell ref="G7:X7"/>
    <mergeCell ref="S14:U14"/>
    <mergeCell ref="C8:F8"/>
    <mergeCell ref="D13:X13"/>
    <mergeCell ref="V14:X14"/>
    <mergeCell ref="C10:G10"/>
    <mergeCell ref="S16:U16"/>
    <mergeCell ref="C9:G9"/>
    <mergeCell ref="H9:X10"/>
    <mergeCell ref="E11:R11"/>
    <mergeCell ref="E14:R14"/>
    <mergeCell ref="E15:R15"/>
    <mergeCell ref="V45:X45"/>
    <mergeCell ref="V46:X46"/>
    <mergeCell ref="V47:X47"/>
    <mergeCell ref="V51:X51"/>
    <mergeCell ref="Q5:R5"/>
    <mergeCell ref="O5:P5"/>
    <mergeCell ref="G8:X8"/>
    <mergeCell ref="S20:U20"/>
    <mergeCell ref="V15:X15"/>
    <mergeCell ref="K20:O20"/>
    <mergeCell ref="P23:R23"/>
    <mergeCell ref="P22:R22"/>
    <mergeCell ref="L40:M40"/>
    <mergeCell ref="D39:K39"/>
    <mergeCell ref="K24:O24"/>
    <mergeCell ref="P21:R21"/>
    <mergeCell ref="P25:R25"/>
    <mergeCell ref="D29:U29"/>
    <mergeCell ref="D30:U30"/>
    <mergeCell ref="E25:K25"/>
    <mergeCell ref="V44:X44"/>
    <mergeCell ref="V43:X43"/>
    <mergeCell ref="N40:O40"/>
    <mergeCell ref="R39:S39"/>
    <mergeCell ref="G66:K66"/>
    <mergeCell ref="F63:I63"/>
    <mergeCell ref="F65:K65"/>
    <mergeCell ref="F62:I62"/>
    <mergeCell ref="G64:K64"/>
    <mergeCell ref="S24:U24"/>
    <mergeCell ref="P24:R24"/>
    <mergeCell ref="O26:Q26"/>
    <mergeCell ref="D31:U31"/>
    <mergeCell ref="R35:S35"/>
    <mergeCell ref="K57:L57"/>
    <mergeCell ref="R56:U56"/>
    <mergeCell ref="L37:M37"/>
    <mergeCell ref="C43:U43"/>
    <mergeCell ref="S44:T44"/>
    <mergeCell ref="L39:M39"/>
    <mergeCell ref="T36:U36"/>
    <mergeCell ref="R40:S40"/>
    <mergeCell ref="N38:O38"/>
    <mergeCell ref="L36:M36"/>
    <mergeCell ref="N36:O36"/>
    <mergeCell ref="T37:U37"/>
    <mergeCell ref="T38:U38"/>
    <mergeCell ref="L38:M38"/>
    <mergeCell ref="V54:X54"/>
    <mergeCell ref="V53:X53"/>
    <mergeCell ref="K52:L52"/>
    <mergeCell ref="K51:L51"/>
    <mergeCell ref="V48:X48"/>
    <mergeCell ref="V62:X62"/>
    <mergeCell ref="V55:X55"/>
    <mergeCell ref="V56:X56"/>
    <mergeCell ref="V59:X59"/>
    <mergeCell ref="V61:X61"/>
    <mergeCell ref="V57:X57"/>
    <mergeCell ref="V52:X52"/>
    <mergeCell ref="R59:U59"/>
    <mergeCell ref="D53:U53"/>
    <mergeCell ref="V50:X50"/>
    <mergeCell ref="V49:X49"/>
    <mergeCell ref="J50:K50"/>
    <mergeCell ref="P58:Q58"/>
    <mergeCell ref="S58:U58"/>
    <mergeCell ref="V58:X58"/>
    <mergeCell ref="D42:S42"/>
    <mergeCell ref="V40:X40"/>
    <mergeCell ref="T41:U41"/>
    <mergeCell ref="R41:S41"/>
    <mergeCell ref="N41:O41"/>
    <mergeCell ref="T39:U39"/>
    <mergeCell ref="D40:K40"/>
    <mergeCell ref="N39:O39"/>
    <mergeCell ref="L41:M41"/>
    <mergeCell ref="D41:K41"/>
    <mergeCell ref="T40:U40"/>
    <mergeCell ref="T42:U42"/>
    <mergeCell ref="V39:X39"/>
    <mergeCell ref="Z24:AA24"/>
    <mergeCell ref="V25:X25"/>
    <mergeCell ref="V26:X26"/>
    <mergeCell ref="V30:X30"/>
    <mergeCell ref="V27:X27"/>
    <mergeCell ref="V33:X33"/>
    <mergeCell ref="V31:X31"/>
    <mergeCell ref="V32:X32"/>
    <mergeCell ref="AC34:AD41"/>
    <mergeCell ref="V37:X37"/>
    <mergeCell ref="V41:X41"/>
    <mergeCell ref="V35:X35"/>
    <mergeCell ref="V34:X34"/>
    <mergeCell ref="V36:X36"/>
    <mergeCell ref="V38:X38"/>
    <mergeCell ref="V28:X28"/>
    <mergeCell ref="V29:X29"/>
  </mergeCells>
  <phoneticPr fontId="20" type="noConversion"/>
  <dataValidations xWindow="855" yWindow="611" count="2">
    <dataValidation type="list" allowBlank="1" showInputMessage="1" showErrorMessage="1" promptTitle="Cyber Group Dangs :" prompt="&#10;&#10;ભરવાપાત્ર ટેક્ષ જો નિયમિત ન ભરવામાં આવે તો (Section 234(A)) મુજબ દંડકીય વ્યાજ ભરવો પડે. આપે દંડકીય વ્યાજ ભરવો હોય તો &quot;YES&quot; ન ભરવો હોય તો &quot;NO&quot; સીલેકટ કરવા વિનંતી.  &#10;" sqref="Y57:Y58 Y54">
      <formula1>$Z$56:$Z$59</formula1>
    </dataValidation>
    <dataValidation type="whole" allowBlank="1" showInputMessage="1" showErrorMessage="1" errorTitle="Pls Input valid value " error="Dont Input Nagative Value, it should be more than 0" sqref="V58:X58">
      <formula1>0</formula1>
      <formula2>500000</formula2>
    </dataValidation>
  </dataValidations>
  <hyperlinks>
    <hyperlink ref="B1" location="BACK2" display="BACK2"/>
    <hyperlink ref="AC47" r:id="rId1"/>
    <hyperlink ref="AG47" r:id="rId2"/>
  </hyperlinks>
  <printOptions horizontalCentered="1"/>
  <pageMargins left="0.59055118110236204" right="0" top="0.5" bottom="0.31496062992126" header="3.9370078740157501E-2" footer="0.196850393700787"/>
  <pageSetup paperSize="9" scale="83" orientation="portrait" horizontalDpi="1200" verticalDpi="1200" r:id="rId3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13</vt:i4>
      </vt:variant>
    </vt:vector>
  </HeadingPairs>
  <TitlesOfParts>
    <vt:vector size="24" baseType="lpstr">
      <vt:lpstr>MainMenu</vt:lpstr>
      <vt:lpstr>Master Deails</vt:lpstr>
      <vt:lpstr>Earning- Salary</vt:lpstr>
      <vt:lpstr>Other than Salary Income</vt:lpstr>
      <vt:lpstr>Investment - Deduction</vt:lpstr>
      <vt:lpstr>Calculation (OLD)</vt:lpstr>
      <vt:lpstr>FORM 16_1 (OLD)</vt:lpstr>
      <vt:lpstr>FORM 16_2 (OLD)</vt:lpstr>
      <vt:lpstr>Calculation (NEW)</vt:lpstr>
      <vt:lpstr>FORM 16 (NEW)</vt:lpstr>
      <vt:lpstr>Form_Annexure A_B</vt:lpstr>
      <vt:lpstr>BACK</vt:lpstr>
      <vt:lpstr>BACK2</vt:lpstr>
      <vt:lpstr>'Calculation (NEW)'!Income_calculation</vt:lpstr>
      <vt:lpstr>'Calculation (OLD)'!Income_calculation</vt:lpstr>
      <vt:lpstr>'Calculation (NEW)'!Print_Area</vt:lpstr>
      <vt:lpstr>'Calculation (OLD)'!Print_Area</vt:lpstr>
      <vt:lpstr>'Earning- Salary'!Print_Area</vt:lpstr>
      <vt:lpstr>'FORM 16 (NEW)'!Print_Area</vt:lpstr>
      <vt:lpstr>'FORM 16_1 (OLD)'!Print_Area</vt:lpstr>
      <vt:lpstr>'FORM 16_2 (OLD)'!Print_Area</vt:lpstr>
      <vt:lpstr>'Form_Annexure A_B'!Print_Area</vt:lpstr>
      <vt:lpstr>'Investment - Deduction'!Print_Area</vt:lpstr>
      <vt:lpstr>'Other than Salary Income'!Print_Area</vt:lpstr>
    </vt:vector>
  </TitlesOfParts>
  <Company>Cyber Group Dangs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Income Tax Calculation 2017 Ver 01</dc:title>
  <dc:creator>Kirit Patel;Cyber Group Dangs</dc:creator>
  <cp:lastModifiedBy>GSWANPC2</cp:lastModifiedBy>
  <cp:lastPrinted>2021-02-23T05:03:46Z</cp:lastPrinted>
  <dcterms:created xsi:type="dcterms:W3CDTF">2000-01-07T08:19:27Z</dcterms:created>
  <dcterms:modified xsi:type="dcterms:W3CDTF">2022-06-17T11:55:05Z</dcterms:modified>
</cp:coreProperties>
</file>